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L:\PRE-AWARD SPA FOLDER\QRC Updates and Generic Budget Templates\0 QRC Budget Templates 2026\09-14-2026\"/>
    </mc:Choice>
  </mc:AlternateContent>
  <xr:revisionPtr revIDLastSave="0" documentId="13_ncr:1_{3AB9E576-B714-4054-A9BA-886437A463D6}" xr6:coauthVersionLast="47" xr6:coauthVersionMax="47" xr10:uidLastSave="{00000000-0000-0000-0000-000000000000}"/>
  <bookViews>
    <workbookView xWindow="-23148" yWindow="-276" windowWidth="23256" windowHeight="12456" tabRatio="883" xr2:uid="{1601A109-A9F7-4310-8870-57CF355362B9}"/>
  </bookViews>
  <sheets>
    <sheet name="R&amp;R Generic Detailed Budget" sheetId="5" r:id="rId1"/>
    <sheet name="SF424 Form Summary" sheetId="11" r:id="rId2"/>
    <sheet name="Personnel Data" sheetId="12" r:id="rId3"/>
    <sheet name="Named Ranges" sheetId="10" state="hidden" r:id="rId4"/>
    <sheet name="Person Month Conversion tool" sheetId="6" state="hidden" r:id="rId5"/>
    <sheet name="NIH Sal Cap Calculator" sheetId="7" state="hidden" r:id="rId6"/>
    <sheet name="F&amp;A History" sheetId="8" state="hidden" r:id="rId7"/>
    <sheet name="Eclass OPE Rates" sheetId="9" r:id="rId8"/>
  </sheets>
  <definedNames>
    <definedName name="Employee_Class_List">'Named Ranges'!$D$2:$G$11</definedName>
    <definedName name="EmployeeClass">'Named Ranges'!$D$3:$G$11</definedName>
    <definedName name="GE_FeesInsTuition">'R&amp;R Generic Detailed Budget'!$T$5:$AA$13</definedName>
    <definedName name="OPE_Rates">'Eclass OPE Rates'!$A$24:$F$33</definedName>
    <definedName name="Personnel_Data">'Personnel Data'!$A$1:$AR$43</definedName>
    <definedName name="_xlnm.Print_Area" localSheetId="0">'R&amp;R Generic Detailed Budget'!$A$3:$Q$195</definedName>
    <definedName name="_xlnm.Print_Area">#REF!</definedName>
    <definedName name="_xlnm.Print_Titles" localSheetId="0">'R&amp;R Generic Detailed Budget'!$5:$9</definedName>
    <definedName name="SALARIES_WAGES">'R&amp;R Generic Detailed Budget'!$B$11:$Q$90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88" i="5" l="1"/>
  <c r="O188" i="5"/>
  <c r="N188" i="5"/>
  <c r="M188" i="5"/>
  <c r="L188" i="5"/>
  <c r="G7" i="9"/>
  <c r="H7" i="9" s="1"/>
  <c r="H17" i="9" s="1"/>
  <c r="G8" i="9"/>
  <c r="H8" i="9" s="1"/>
  <c r="H18" i="9" s="1"/>
  <c r="G9" i="9"/>
  <c r="H9" i="9" s="1"/>
  <c r="H19" i="9" s="1"/>
  <c r="G10" i="9"/>
  <c r="H10" i="9" s="1"/>
  <c r="H20" i="9" s="1"/>
  <c r="G11" i="9"/>
  <c r="G21" i="9" s="1"/>
  <c r="G12" i="9"/>
  <c r="H12" i="9" s="1"/>
  <c r="H22" i="9" s="1"/>
  <c r="G13" i="9"/>
  <c r="H13" i="9" s="1"/>
  <c r="H23" i="9" s="1"/>
  <c r="G6" i="9"/>
  <c r="G16" i="9" s="1"/>
  <c r="V15" i="5"/>
  <c r="A3" i="9"/>
  <c r="V16" i="5"/>
  <c r="P173" i="5" s="1"/>
  <c r="C16" i="9"/>
  <c r="B24" i="9"/>
  <c r="B25" i="9" s="1"/>
  <c r="V14" i="5"/>
  <c r="E49" i="5" s="1"/>
  <c r="D30" i="5"/>
  <c r="D75" i="5"/>
  <c r="L75" i="5"/>
  <c r="C63" i="5"/>
  <c r="C70" i="5"/>
  <c r="B75" i="5"/>
  <c r="K75" i="5" s="1"/>
  <c r="C30" i="5"/>
  <c r="C75" i="5" s="1"/>
  <c r="B76" i="5"/>
  <c r="B77" i="5"/>
  <c r="B78" i="5"/>
  <c r="K78" i="5" s="1"/>
  <c r="B79" i="5"/>
  <c r="K79" i="5" s="1"/>
  <c r="B80" i="5"/>
  <c r="K80" i="5" s="1"/>
  <c r="D57" i="5"/>
  <c r="D59" i="5"/>
  <c r="D58" i="5"/>
  <c r="C57" i="5"/>
  <c r="C58" i="5"/>
  <c r="C59" i="5"/>
  <c r="C60" i="5"/>
  <c r="C61" i="5"/>
  <c r="C62" i="5"/>
  <c r="C64" i="5"/>
  <c r="C65" i="5"/>
  <c r="C66" i="5"/>
  <c r="C67" i="5"/>
  <c r="C68" i="5"/>
  <c r="C69" i="5"/>
  <c r="C71" i="5"/>
  <c r="B58" i="5"/>
  <c r="K58" i="5" s="1"/>
  <c r="B59" i="5"/>
  <c r="K59" i="5" s="1"/>
  <c r="B60" i="5"/>
  <c r="K60" i="5"/>
  <c r="B61" i="5"/>
  <c r="K61" i="5"/>
  <c r="B62" i="5"/>
  <c r="K62" i="5" s="1"/>
  <c r="B63" i="5"/>
  <c r="K63" i="5" s="1"/>
  <c r="B64" i="5"/>
  <c r="K64" i="5"/>
  <c r="B65" i="5"/>
  <c r="K65" i="5"/>
  <c r="B66" i="5"/>
  <c r="K66" i="5" s="1"/>
  <c r="B67" i="5"/>
  <c r="B68" i="5"/>
  <c r="K68" i="5"/>
  <c r="B69" i="5"/>
  <c r="B70" i="5"/>
  <c r="K70" i="5"/>
  <c r="B71" i="5"/>
  <c r="K71" i="5" s="1"/>
  <c r="B57" i="5"/>
  <c r="K57" i="5" s="1"/>
  <c r="D62" i="5"/>
  <c r="L62" i="5"/>
  <c r="D61" i="5"/>
  <c r="N61" i="5"/>
  <c r="D60" i="5"/>
  <c r="D63" i="5"/>
  <c r="D64" i="5"/>
  <c r="D65" i="5"/>
  <c r="N65" i="5"/>
  <c r="D66" i="5"/>
  <c r="M66" i="5" s="1"/>
  <c r="D67" i="5"/>
  <c r="P67" i="5"/>
  <c r="D68" i="5"/>
  <c r="L68" i="5"/>
  <c r="D69" i="5"/>
  <c r="N69" i="5"/>
  <c r="D70" i="5"/>
  <c r="D71" i="5"/>
  <c r="P71" i="5"/>
  <c r="C31" i="5"/>
  <c r="C76" i="5" s="1"/>
  <c r="C32" i="5"/>
  <c r="C77" i="5" s="1"/>
  <c r="C33" i="5"/>
  <c r="C78" i="5" s="1"/>
  <c r="C34" i="5"/>
  <c r="C79" i="5" s="1"/>
  <c r="C35" i="5"/>
  <c r="C80" i="5" s="1"/>
  <c r="O126" i="5"/>
  <c r="P127" i="5"/>
  <c r="O128" i="5"/>
  <c r="M129" i="5"/>
  <c r="P129" i="5"/>
  <c r="P101" i="5"/>
  <c r="N100" i="5"/>
  <c r="M99" i="5"/>
  <c r="N98" i="5"/>
  <c r="M98" i="5"/>
  <c r="N12" i="11"/>
  <c r="AK13" i="11"/>
  <c r="AL13" i="11"/>
  <c r="AM13" i="11"/>
  <c r="AN13" i="11"/>
  <c r="AO13" i="11"/>
  <c r="AK14" i="11"/>
  <c r="AL14" i="11"/>
  <c r="AM14" i="11"/>
  <c r="AN14" i="11"/>
  <c r="AO14" i="11"/>
  <c r="AK15" i="11"/>
  <c r="AL15" i="11"/>
  <c r="AM15" i="11"/>
  <c r="AN15" i="11"/>
  <c r="AO15" i="11"/>
  <c r="AK16" i="11"/>
  <c r="AL16" i="11"/>
  <c r="AM16" i="11"/>
  <c r="AN16" i="11"/>
  <c r="AO16" i="11"/>
  <c r="AK17" i="11"/>
  <c r="AL17" i="11"/>
  <c r="AM17" i="11"/>
  <c r="AN17" i="11"/>
  <c r="AO17" i="11"/>
  <c r="D31" i="5"/>
  <c r="D76" i="5"/>
  <c r="P76" i="5" s="1"/>
  <c r="B26" i="11"/>
  <c r="B25" i="11"/>
  <c r="B21" i="11"/>
  <c r="B20" i="11"/>
  <c r="B19" i="11"/>
  <c r="L176" i="5"/>
  <c r="C25" i="11"/>
  <c r="N105" i="5"/>
  <c r="P105" i="5"/>
  <c r="A10" i="12"/>
  <c r="AG10" i="12" s="1"/>
  <c r="AM10" i="12" s="1"/>
  <c r="M10" i="12"/>
  <c r="K176" i="5"/>
  <c r="K182" i="5"/>
  <c r="AL7" i="11"/>
  <c r="AM7" i="11"/>
  <c r="AN7" i="11"/>
  <c r="AO7" i="11"/>
  <c r="Q27" i="11"/>
  <c r="R27" i="11"/>
  <c r="S27" i="11"/>
  <c r="Q28" i="11"/>
  <c r="R28" i="11"/>
  <c r="S28" i="11"/>
  <c r="Q29" i="11"/>
  <c r="R29" i="11"/>
  <c r="S29" i="11"/>
  <c r="Q30" i="11"/>
  <c r="R30" i="11"/>
  <c r="S30" i="11"/>
  <c r="Q31" i="11"/>
  <c r="R31" i="11"/>
  <c r="S31" i="11"/>
  <c r="Q32" i="11"/>
  <c r="R32" i="11"/>
  <c r="S32" i="11"/>
  <c r="Q33" i="11"/>
  <c r="R33" i="11"/>
  <c r="S33" i="11"/>
  <c r="Q34" i="11"/>
  <c r="R34" i="11"/>
  <c r="S34" i="11"/>
  <c r="Q35" i="11"/>
  <c r="R35" i="11"/>
  <c r="S35" i="11"/>
  <c r="Q36" i="11"/>
  <c r="R36" i="11"/>
  <c r="S36" i="11"/>
  <c r="Q13" i="11"/>
  <c r="R13" i="11"/>
  <c r="S13" i="11"/>
  <c r="Q14" i="11"/>
  <c r="R14" i="11"/>
  <c r="S14" i="11"/>
  <c r="Q15" i="11"/>
  <c r="R15" i="11"/>
  <c r="S15" i="11"/>
  <c r="Q16" i="11"/>
  <c r="R16" i="11"/>
  <c r="S16" i="11"/>
  <c r="Q17" i="11"/>
  <c r="R17" i="11"/>
  <c r="S17" i="11"/>
  <c r="AF27" i="11"/>
  <c r="AG27" i="11"/>
  <c r="AH27" i="11"/>
  <c r="AF28" i="11"/>
  <c r="AG28" i="11"/>
  <c r="AH28" i="11"/>
  <c r="AF29" i="11"/>
  <c r="AG29" i="11"/>
  <c r="AH29" i="11"/>
  <c r="AF30" i="11"/>
  <c r="AG30" i="11"/>
  <c r="AH30" i="11"/>
  <c r="AF31" i="11"/>
  <c r="AG31" i="11"/>
  <c r="AH31" i="11"/>
  <c r="AF32" i="11"/>
  <c r="AG32" i="11"/>
  <c r="AH32" i="11"/>
  <c r="AF33" i="11"/>
  <c r="AG33" i="11"/>
  <c r="AH33" i="11"/>
  <c r="AF34" i="11"/>
  <c r="AG34" i="11"/>
  <c r="AH34" i="11"/>
  <c r="AF35" i="11"/>
  <c r="AG35" i="11"/>
  <c r="AH35" i="11"/>
  <c r="AF36" i="11"/>
  <c r="AG36" i="11"/>
  <c r="AH36" i="11"/>
  <c r="AH16" i="11"/>
  <c r="AG16" i="11"/>
  <c r="AF16" i="11"/>
  <c r="AH15" i="11"/>
  <c r="AG15" i="11"/>
  <c r="AF15" i="11"/>
  <c r="AH14" i="11"/>
  <c r="AG14" i="11"/>
  <c r="AF14" i="11"/>
  <c r="AH13" i="11"/>
  <c r="AG13" i="11"/>
  <c r="AF13" i="11"/>
  <c r="AA27" i="11"/>
  <c r="AB27" i="11"/>
  <c r="AC27" i="11"/>
  <c r="AA28" i="11"/>
  <c r="AB28" i="11"/>
  <c r="AC28" i="11"/>
  <c r="AA29" i="11"/>
  <c r="AB29" i="11"/>
  <c r="AC29" i="11"/>
  <c r="AA30" i="11"/>
  <c r="AB30" i="11"/>
  <c r="AC30" i="11"/>
  <c r="AA31" i="11"/>
  <c r="AB31" i="11"/>
  <c r="AC31" i="11"/>
  <c r="AA32" i="11"/>
  <c r="AB32" i="11"/>
  <c r="AC32" i="11"/>
  <c r="AA33" i="11"/>
  <c r="AB33" i="11"/>
  <c r="AC33" i="11"/>
  <c r="AA34" i="11"/>
  <c r="AB34" i="11"/>
  <c r="AC34" i="11"/>
  <c r="AA35" i="11"/>
  <c r="AB35" i="11"/>
  <c r="AC35" i="11"/>
  <c r="AA36" i="11"/>
  <c r="AB36" i="11"/>
  <c r="AC36" i="11"/>
  <c r="AA13" i="11"/>
  <c r="AB13" i="11"/>
  <c r="AC13" i="11"/>
  <c r="AA14" i="11"/>
  <c r="AB14" i="11"/>
  <c r="AC14" i="11"/>
  <c r="AA15" i="11"/>
  <c r="AB15" i="11"/>
  <c r="AC15" i="11"/>
  <c r="AA16" i="11"/>
  <c r="AB16" i="11"/>
  <c r="AC16" i="11"/>
  <c r="V27" i="11"/>
  <c r="W27" i="11"/>
  <c r="X27" i="11"/>
  <c r="V28" i="11"/>
  <c r="W28" i="11"/>
  <c r="X28" i="11"/>
  <c r="V29" i="11"/>
  <c r="W29" i="11"/>
  <c r="X29" i="11"/>
  <c r="V30" i="11"/>
  <c r="W30" i="11"/>
  <c r="X30" i="11"/>
  <c r="V31" i="11"/>
  <c r="W31" i="11"/>
  <c r="X31" i="11"/>
  <c r="V32" i="11"/>
  <c r="W32" i="11"/>
  <c r="X32" i="11"/>
  <c r="V33" i="11"/>
  <c r="W33" i="11"/>
  <c r="X33" i="11"/>
  <c r="V34" i="11"/>
  <c r="W34" i="11"/>
  <c r="X34" i="11"/>
  <c r="V35" i="11"/>
  <c r="W35" i="11"/>
  <c r="X35" i="11"/>
  <c r="V36" i="11"/>
  <c r="W36" i="11"/>
  <c r="X36" i="11"/>
  <c r="L27" i="11"/>
  <c r="M27" i="11"/>
  <c r="N27" i="11"/>
  <c r="L28" i="11"/>
  <c r="M28" i="11"/>
  <c r="N28" i="11"/>
  <c r="L29" i="11"/>
  <c r="M29" i="11"/>
  <c r="N29" i="11"/>
  <c r="L30" i="11"/>
  <c r="M30" i="11"/>
  <c r="N30" i="11"/>
  <c r="L31" i="11"/>
  <c r="M31" i="11"/>
  <c r="N31" i="11"/>
  <c r="L32" i="11"/>
  <c r="M32" i="11"/>
  <c r="N32" i="11"/>
  <c r="L33" i="11"/>
  <c r="M33" i="11"/>
  <c r="N33" i="11"/>
  <c r="L34" i="11"/>
  <c r="M34" i="11"/>
  <c r="N34" i="11"/>
  <c r="L35" i="11"/>
  <c r="M35" i="11"/>
  <c r="N35" i="11"/>
  <c r="L36" i="11"/>
  <c r="M36" i="11"/>
  <c r="N36" i="11"/>
  <c r="V13" i="11"/>
  <c r="W13" i="11"/>
  <c r="X13" i="11"/>
  <c r="V14" i="11"/>
  <c r="W14" i="11"/>
  <c r="X14" i="11"/>
  <c r="V15" i="11"/>
  <c r="W15" i="11"/>
  <c r="X15" i="11"/>
  <c r="V16" i="11"/>
  <c r="W16" i="11"/>
  <c r="X16" i="11"/>
  <c r="M13" i="11"/>
  <c r="M14" i="11"/>
  <c r="M15" i="11"/>
  <c r="M16" i="11"/>
  <c r="L13" i="11"/>
  <c r="N13" i="11" s="1"/>
  <c r="L14" i="11"/>
  <c r="N14" i="11" s="1"/>
  <c r="L15" i="11"/>
  <c r="N15" i="11" s="1"/>
  <c r="L16" i="11"/>
  <c r="N16" i="11" s="1"/>
  <c r="P39" i="11"/>
  <c r="U39" i="11"/>
  <c r="Z39" i="11"/>
  <c r="AE39" i="11"/>
  <c r="X19" i="12"/>
  <c r="E29" i="12"/>
  <c r="U29" i="12" s="1"/>
  <c r="U31" i="12" s="1"/>
  <c r="E28" i="12"/>
  <c r="S28" i="12" s="1"/>
  <c r="S31" i="12" s="1"/>
  <c r="W42" i="12"/>
  <c r="V42" i="12"/>
  <c r="U42" i="12"/>
  <c r="T42" i="12"/>
  <c r="S42" i="12"/>
  <c r="W30" i="12"/>
  <c r="X30" i="12" s="1"/>
  <c r="V30" i="12"/>
  <c r="U30" i="12"/>
  <c r="T30" i="12"/>
  <c r="S30" i="12"/>
  <c r="C19" i="12"/>
  <c r="E19" i="12" s="1"/>
  <c r="N28" i="12"/>
  <c r="T28" i="12"/>
  <c r="T31" i="12" s="1"/>
  <c r="O28" i="12"/>
  <c r="U28" i="12"/>
  <c r="M28" i="12"/>
  <c r="E37" i="5"/>
  <c r="O10" i="12"/>
  <c r="N10" i="12"/>
  <c r="N18" i="12"/>
  <c r="P29" i="12"/>
  <c r="V29" i="12"/>
  <c r="O29" i="12"/>
  <c r="N29" i="12"/>
  <c r="T29" i="12"/>
  <c r="M29" i="12"/>
  <c r="S29" i="12"/>
  <c r="P28" i="12"/>
  <c r="AM30" i="12"/>
  <c r="AN30" i="12"/>
  <c r="AO30" i="12"/>
  <c r="AP30" i="12"/>
  <c r="AQ30" i="12"/>
  <c r="AI19" i="12"/>
  <c r="AO19" i="12" s="1"/>
  <c r="AJ19" i="12"/>
  <c r="AP19" i="12" s="1"/>
  <c r="AK19" i="12"/>
  <c r="AQ19" i="12" s="1"/>
  <c r="AH19" i="12"/>
  <c r="AN19" i="12" s="1"/>
  <c r="G29" i="12"/>
  <c r="H29" i="12" s="1"/>
  <c r="I29" i="12" s="1"/>
  <c r="J29" i="12" s="1"/>
  <c r="K29" i="12" s="1"/>
  <c r="G11" i="12"/>
  <c r="H11" i="12" s="1"/>
  <c r="I11" i="12" s="1"/>
  <c r="J11" i="12" s="1"/>
  <c r="K11" i="12" s="1"/>
  <c r="G12" i="12"/>
  <c r="H12" i="12"/>
  <c r="I12" i="12" s="1"/>
  <c r="J12" i="12" s="1"/>
  <c r="K12" i="12" s="1"/>
  <c r="G13" i="12"/>
  <c r="H13" i="12" s="1"/>
  <c r="I13" i="12" s="1"/>
  <c r="J13" i="12" s="1"/>
  <c r="K13" i="12" s="1"/>
  <c r="G14" i="12"/>
  <c r="H14" i="12"/>
  <c r="I14" i="12" s="1"/>
  <c r="J14" i="12" s="1"/>
  <c r="K14" i="12" s="1"/>
  <c r="G15" i="12"/>
  <c r="H15" i="12" s="1"/>
  <c r="I15" i="12" s="1"/>
  <c r="J15" i="12" s="1"/>
  <c r="K15" i="12" s="1"/>
  <c r="G16" i="12"/>
  <c r="H16" i="12"/>
  <c r="I16" i="12" s="1"/>
  <c r="J16" i="12" s="1"/>
  <c r="K16" i="12" s="1"/>
  <c r="G17" i="12"/>
  <c r="H17" i="12" s="1"/>
  <c r="I17" i="12"/>
  <c r="J17" i="12" s="1"/>
  <c r="K17" i="12" s="1"/>
  <c r="G18" i="12"/>
  <c r="H18" i="12" s="1"/>
  <c r="I18" i="12" s="1"/>
  <c r="J18" i="12" s="1"/>
  <c r="K18" i="12" s="1"/>
  <c r="AG19" i="12"/>
  <c r="AM19" i="12" s="1"/>
  <c r="G23" i="12"/>
  <c r="H23" i="12"/>
  <c r="I23" i="12" s="1"/>
  <c r="J23" i="12" s="1"/>
  <c r="K23" i="12" s="1"/>
  <c r="G24" i="12"/>
  <c r="H24" i="12" s="1"/>
  <c r="I24" i="12" s="1"/>
  <c r="J24" i="12" s="1"/>
  <c r="K24" i="12" s="1"/>
  <c r="G25" i="12"/>
  <c r="H25" i="12" s="1"/>
  <c r="I25" i="12" s="1"/>
  <c r="J25" i="12" s="1"/>
  <c r="K25" i="12" s="1"/>
  <c r="G26" i="12"/>
  <c r="H26" i="12" s="1"/>
  <c r="I26" i="12" s="1"/>
  <c r="J26" i="12" s="1"/>
  <c r="K26" i="12" s="1"/>
  <c r="G30" i="12"/>
  <c r="H30" i="12"/>
  <c r="I30" i="12" s="1"/>
  <c r="J30" i="12" s="1"/>
  <c r="K30" i="12" s="1"/>
  <c r="M5" i="12"/>
  <c r="N5" i="12"/>
  <c r="O5" i="12"/>
  <c r="P5" i="12"/>
  <c r="Q5" i="12"/>
  <c r="M6" i="12"/>
  <c r="N6" i="12"/>
  <c r="O6" i="12"/>
  <c r="P6" i="12"/>
  <c r="Q6" i="12"/>
  <c r="M7" i="12"/>
  <c r="N7" i="12"/>
  <c r="O7" i="12"/>
  <c r="P7" i="12"/>
  <c r="Q7" i="12"/>
  <c r="M8" i="12"/>
  <c r="N8" i="12"/>
  <c r="O8" i="12"/>
  <c r="P8" i="12"/>
  <c r="Q8" i="12"/>
  <c r="M9" i="12"/>
  <c r="N9" i="12"/>
  <c r="O9" i="12"/>
  <c r="P9" i="12"/>
  <c r="Q9" i="12"/>
  <c r="Q10" i="12"/>
  <c r="M11" i="12"/>
  <c r="N11" i="12"/>
  <c r="O11" i="12"/>
  <c r="P11" i="12"/>
  <c r="Q11" i="12"/>
  <c r="M12" i="12"/>
  <c r="N12" i="12"/>
  <c r="O12" i="12"/>
  <c r="P12" i="12"/>
  <c r="Q12" i="12"/>
  <c r="M13" i="12"/>
  <c r="N13" i="12"/>
  <c r="O13" i="12"/>
  <c r="P13" i="12"/>
  <c r="Q13" i="12"/>
  <c r="M14" i="12"/>
  <c r="N14" i="12"/>
  <c r="O14" i="12"/>
  <c r="P14" i="12"/>
  <c r="Q14" i="12"/>
  <c r="M15" i="12"/>
  <c r="N15" i="12"/>
  <c r="O15" i="12"/>
  <c r="P15" i="12"/>
  <c r="Q15" i="12"/>
  <c r="M16" i="12"/>
  <c r="N16" i="12"/>
  <c r="O16" i="12"/>
  <c r="P16" i="12"/>
  <c r="Q16" i="12"/>
  <c r="M17" i="12"/>
  <c r="N17" i="12"/>
  <c r="O17" i="12"/>
  <c r="P17" i="12"/>
  <c r="Q17" i="12"/>
  <c r="M18" i="12"/>
  <c r="O18" i="12"/>
  <c r="P18" i="12"/>
  <c r="Q18" i="12"/>
  <c r="M21" i="12"/>
  <c r="N21" i="12"/>
  <c r="O21" i="12"/>
  <c r="P21" i="12"/>
  <c r="Q21" i="12"/>
  <c r="M22" i="12"/>
  <c r="N22" i="12"/>
  <c r="O22" i="12"/>
  <c r="P22" i="12"/>
  <c r="Q22" i="12"/>
  <c r="M23" i="12"/>
  <c r="N23" i="12"/>
  <c r="O23" i="12"/>
  <c r="P23" i="12"/>
  <c r="Q23" i="12"/>
  <c r="M24" i="12"/>
  <c r="N24" i="12"/>
  <c r="O24" i="12"/>
  <c r="P24" i="12"/>
  <c r="Q24" i="12"/>
  <c r="M25" i="12"/>
  <c r="N25" i="12"/>
  <c r="O25" i="12"/>
  <c r="P25" i="12"/>
  <c r="Q25" i="12"/>
  <c r="M26" i="12"/>
  <c r="N26" i="12"/>
  <c r="O26" i="12"/>
  <c r="P26" i="12"/>
  <c r="Q26" i="12"/>
  <c r="Q28" i="12"/>
  <c r="W28" i="12"/>
  <c r="Q29" i="12"/>
  <c r="W29" i="12" s="1"/>
  <c r="M30" i="12"/>
  <c r="N30" i="12"/>
  <c r="O30" i="12"/>
  <c r="P30" i="12"/>
  <c r="Q30" i="12"/>
  <c r="M33" i="12"/>
  <c r="S33" i="12" s="1"/>
  <c r="N33" i="12"/>
  <c r="T33" i="12" s="1"/>
  <c r="O33" i="12"/>
  <c r="U33" i="12" s="1"/>
  <c r="P33" i="12"/>
  <c r="V33" i="12" s="1"/>
  <c r="Q33" i="12"/>
  <c r="W33" i="12" s="1"/>
  <c r="M34" i="12"/>
  <c r="S34" i="12" s="1"/>
  <c r="N34" i="12"/>
  <c r="T34" i="12" s="1"/>
  <c r="O34" i="12"/>
  <c r="U34" i="12" s="1"/>
  <c r="P34" i="12"/>
  <c r="V34" i="12" s="1"/>
  <c r="Q34" i="12"/>
  <c r="W34" i="12" s="1"/>
  <c r="M40" i="12"/>
  <c r="S40" i="12" s="1"/>
  <c r="N40" i="12"/>
  <c r="T40" i="12" s="1"/>
  <c r="O40" i="12"/>
  <c r="U40" i="12" s="1"/>
  <c r="P40" i="12"/>
  <c r="V40" i="12" s="1"/>
  <c r="Q40" i="12"/>
  <c r="W40" i="12" s="1"/>
  <c r="M41" i="12"/>
  <c r="S41" i="12" s="1"/>
  <c r="X41" i="12" s="1"/>
  <c r="N41" i="12"/>
  <c r="T41" i="12" s="1"/>
  <c r="O41" i="12"/>
  <c r="U41" i="12" s="1"/>
  <c r="P41" i="12"/>
  <c r="V41" i="12" s="1"/>
  <c r="Q41" i="12"/>
  <c r="W41" i="12" s="1"/>
  <c r="Q4" i="12"/>
  <c r="P4" i="12"/>
  <c r="O4" i="12"/>
  <c r="N4" i="12"/>
  <c r="M4" i="12"/>
  <c r="Z19" i="12"/>
  <c r="AA19" i="12"/>
  <c r="AE19" i="12" s="1"/>
  <c r="AB19" i="12"/>
  <c r="AC19" i="12"/>
  <c r="AD19" i="12"/>
  <c r="Z29" i="12"/>
  <c r="Z30" i="12"/>
  <c r="AA30" i="12"/>
  <c r="AB30" i="12"/>
  <c r="AC30" i="12"/>
  <c r="AE30" i="12" s="1"/>
  <c r="AD30" i="12"/>
  <c r="Z39" i="12"/>
  <c r="AA39" i="12"/>
  <c r="AB39" i="12"/>
  <c r="AC39" i="12"/>
  <c r="AD39" i="12"/>
  <c r="Z42" i="12"/>
  <c r="AA42" i="12"/>
  <c r="AB42" i="12"/>
  <c r="AC42" i="12"/>
  <c r="AD42" i="12"/>
  <c r="D29" i="12"/>
  <c r="D28" i="12"/>
  <c r="A41" i="12"/>
  <c r="B19" i="12"/>
  <c r="A11" i="12"/>
  <c r="A12" i="12"/>
  <c r="A13" i="12"/>
  <c r="AJ13" i="12" s="1"/>
  <c r="AP13" i="12" s="1"/>
  <c r="A14" i="12"/>
  <c r="AK14" i="12" s="1"/>
  <c r="AQ14" i="12" s="1"/>
  <c r="A15" i="12"/>
  <c r="B15" i="12" s="1"/>
  <c r="A16" i="12"/>
  <c r="A17" i="12"/>
  <c r="B47" i="11" s="1"/>
  <c r="A18" i="12"/>
  <c r="AK18" i="12" s="1"/>
  <c r="AQ18" i="12" s="1"/>
  <c r="A33" i="12"/>
  <c r="A34" i="12"/>
  <c r="A39" i="12"/>
  <c r="A40" i="12"/>
  <c r="A30" i="12"/>
  <c r="A29" i="12"/>
  <c r="A28" i="12"/>
  <c r="C7" i="11"/>
  <c r="A22" i="12"/>
  <c r="C22" i="12" s="1"/>
  <c r="D22" i="12" s="1"/>
  <c r="A23" i="12"/>
  <c r="A24" i="12"/>
  <c r="AG24" i="12"/>
  <c r="AM24" i="12" s="1"/>
  <c r="A25" i="12"/>
  <c r="AH25" i="12" s="1"/>
  <c r="AN25" i="12" s="1"/>
  <c r="A26" i="12"/>
  <c r="C26" i="12"/>
  <c r="E26" i="12" s="1"/>
  <c r="S26" i="12" s="1"/>
  <c r="A21" i="12"/>
  <c r="C21" i="12"/>
  <c r="D21" i="12" s="1"/>
  <c r="L163" i="5"/>
  <c r="C23" i="11"/>
  <c r="L158" i="5"/>
  <c r="C22" i="11" s="1"/>
  <c r="L137" i="5"/>
  <c r="C17" i="11" s="1"/>
  <c r="L131" i="5"/>
  <c r="C16" i="11" s="1"/>
  <c r="L118" i="5"/>
  <c r="C14" i="11"/>
  <c r="L124" i="5"/>
  <c r="C15" i="11" s="1"/>
  <c r="L182" i="5"/>
  <c r="C26" i="11" s="1"/>
  <c r="A5" i="12"/>
  <c r="A6" i="12"/>
  <c r="B6" i="12"/>
  <c r="A7" i="12"/>
  <c r="A8" i="12"/>
  <c r="AK8" i="12" s="1"/>
  <c r="AQ8" i="12" s="1"/>
  <c r="A9" i="12"/>
  <c r="A4" i="12"/>
  <c r="L19" i="11" s="1"/>
  <c r="K67" i="5"/>
  <c r="K69" i="5"/>
  <c r="L23" i="5"/>
  <c r="Z14" i="12" s="1"/>
  <c r="L24" i="5"/>
  <c r="Z15" i="12" s="1"/>
  <c r="L25" i="5"/>
  <c r="Z16" i="12" s="1"/>
  <c r="AE16" i="12" s="1"/>
  <c r="L26" i="5"/>
  <c r="Z17" i="12"/>
  <c r="L27" i="5"/>
  <c r="Z18" i="12" s="1"/>
  <c r="C3" i="11"/>
  <c r="L152" i="5"/>
  <c r="L151" i="5"/>
  <c r="M149" i="5"/>
  <c r="D21" i="11"/>
  <c r="N149" i="5"/>
  <c r="E21" i="11" s="1"/>
  <c r="O149" i="5"/>
  <c r="F21" i="11"/>
  <c r="P149" i="5"/>
  <c r="G21" i="11"/>
  <c r="L149" i="5"/>
  <c r="C21" i="11"/>
  <c r="M145" i="5"/>
  <c r="D20" i="11" s="1"/>
  <c r="N145" i="5"/>
  <c r="E20" i="11"/>
  <c r="O145" i="5"/>
  <c r="F20" i="11"/>
  <c r="P145" i="5"/>
  <c r="G20" i="11"/>
  <c r="L145" i="5"/>
  <c r="C20" i="11" s="1"/>
  <c r="H20" i="11" s="1"/>
  <c r="M141" i="5"/>
  <c r="D19" i="11"/>
  <c r="N141" i="5"/>
  <c r="E19" i="11"/>
  <c r="O141" i="5"/>
  <c r="F19" i="11"/>
  <c r="P141" i="5"/>
  <c r="G19" i="11" s="1"/>
  <c r="L141" i="5"/>
  <c r="C19" i="11"/>
  <c r="H19" i="11" s="1"/>
  <c r="C10" i="7"/>
  <c r="M7" i="5"/>
  <c r="N6" i="5" s="1"/>
  <c r="F21" i="9"/>
  <c r="M105" i="5"/>
  <c r="M109" i="5" s="1"/>
  <c r="D12" i="11" s="1"/>
  <c r="M180" i="5"/>
  <c r="B10" i="6"/>
  <c r="F17" i="9"/>
  <c r="F18" i="9"/>
  <c r="F19" i="9"/>
  <c r="F20" i="9"/>
  <c r="F22" i="9"/>
  <c r="F23" i="9"/>
  <c r="E16" i="9"/>
  <c r="E17" i="9"/>
  <c r="E18" i="9"/>
  <c r="E19" i="9"/>
  <c r="E20" i="9"/>
  <c r="E21" i="9"/>
  <c r="E22" i="9"/>
  <c r="E23" i="9"/>
  <c r="D3" i="7"/>
  <c r="F3" i="7" s="1"/>
  <c r="D207" i="5"/>
  <c r="D206" i="5"/>
  <c r="D205" i="5"/>
  <c r="D204" i="5"/>
  <c r="D203" i="5"/>
  <c r="D202" i="5"/>
  <c r="D16" i="9"/>
  <c r="C17" i="9"/>
  <c r="D17" i="9"/>
  <c r="C18" i="9"/>
  <c r="D18" i="9"/>
  <c r="C19" i="9"/>
  <c r="D19" i="9"/>
  <c r="C20" i="9"/>
  <c r="D20" i="9"/>
  <c r="C21" i="9"/>
  <c r="D21" i="9"/>
  <c r="C22" i="9"/>
  <c r="D22" i="9"/>
  <c r="C23" i="9"/>
  <c r="D23" i="9"/>
  <c r="K77" i="5"/>
  <c r="D32" i="5"/>
  <c r="D77" i="5" s="1"/>
  <c r="D33" i="5"/>
  <c r="D78" i="5" s="1"/>
  <c r="D34" i="5"/>
  <c r="D79" i="5"/>
  <c r="D35" i="5"/>
  <c r="D80" i="5" s="1"/>
  <c r="Q139" i="5"/>
  <c r="Q140" i="5"/>
  <c r="L32" i="5"/>
  <c r="Z23" i="12" s="1"/>
  <c r="L33" i="5"/>
  <c r="L34" i="5"/>
  <c r="Z25" i="12" s="1"/>
  <c r="L35" i="5"/>
  <c r="Z26" i="12"/>
  <c r="L16" i="5"/>
  <c r="Z7" i="12" s="1"/>
  <c r="L20" i="5"/>
  <c r="L21" i="5"/>
  <c r="L22" i="5"/>
  <c r="M151" i="5"/>
  <c r="M152" i="5"/>
  <c r="P152" i="5"/>
  <c r="P151" i="5"/>
  <c r="O152" i="5"/>
  <c r="O154" i="5" s="1"/>
  <c r="F18" i="11" s="1"/>
  <c r="O151" i="5"/>
  <c r="N152" i="5"/>
  <c r="N151" i="5"/>
  <c r="P96" i="5"/>
  <c r="G10" i="11"/>
  <c r="O96" i="5"/>
  <c r="F10" i="11" s="1"/>
  <c r="N96" i="5"/>
  <c r="M96" i="5"/>
  <c r="D10" i="11" s="1"/>
  <c r="L96" i="5"/>
  <c r="C10" i="11"/>
  <c r="W13" i="5"/>
  <c r="X13" i="5" s="1"/>
  <c r="Y13" i="5" s="1"/>
  <c r="Z13" i="5" s="1"/>
  <c r="AA13" i="5" s="1"/>
  <c r="V5" i="5"/>
  <c r="V7" i="5" s="1"/>
  <c r="L102" i="5"/>
  <c r="C11" i="11" s="1"/>
  <c r="L109" i="5"/>
  <c r="C12" i="11"/>
  <c r="C5" i="7"/>
  <c r="C11" i="7"/>
  <c r="Q143" i="5"/>
  <c r="Q144" i="5"/>
  <c r="Z5" i="5"/>
  <c r="Y5" i="5"/>
  <c r="X5" i="5"/>
  <c r="W5" i="5"/>
  <c r="L20" i="6"/>
  <c r="L21" i="6"/>
  <c r="K20" i="6"/>
  <c r="K21" i="6" s="1"/>
  <c r="J20" i="6"/>
  <c r="J21" i="6"/>
  <c r="H21" i="6"/>
  <c r="E21" i="6"/>
  <c r="B21" i="6"/>
  <c r="G10" i="6"/>
  <c r="H10" i="6"/>
  <c r="L9" i="6" s="1"/>
  <c r="L10" i="6" s="1"/>
  <c r="D10" i="6"/>
  <c r="E10" i="6" s="1"/>
  <c r="K9" i="6" s="1"/>
  <c r="K10" i="6" s="1"/>
  <c r="J9" i="6"/>
  <c r="J10" i="6"/>
  <c r="Q148" i="5"/>
  <c r="Q147" i="5"/>
  <c r="Q95" i="5"/>
  <c r="Q94" i="5"/>
  <c r="M6" i="5"/>
  <c r="AA5" i="5" s="1"/>
  <c r="F16" i="9"/>
  <c r="N157" i="5"/>
  <c r="M161" i="5"/>
  <c r="N161" i="5"/>
  <c r="N135" i="5"/>
  <c r="M121" i="5"/>
  <c r="N122" i="5"/>
  <c r="M120" i="5"/>
  <c r="P117" i="5"/>
  <c r="N107" i="5"/>
  <c r="P168" i="5"/>
  <c r="O108" i="5"/>
  <c r="O106" i="5"/>
  <c r="P116" i="5"/>
  <c r="Q116" i="5" s="1"/>
  <c r="M168" i="5"/>
  <c r="P115" i="5"/>
  <c r="O116" i="5"/>
  <c r="D200" i="5"/>
  <c r="P108" i="5"/>
  <c r="P16" i="5"/>
  <c r="AD7" i="12" s="1"/>
  <c r="O20" i="5"/>
  <c r="AC11" i="12" s="1"/>
  <c r="O17" i="5"/>
  <c r="AC8" i="12"/>
  <c r="P34" i="5"/>
  <c r="AD25" i="12"/>
  <c r="P14" i="5"/>
  <c r="AD5" i="12" s="1"/>
  <c r="P20" i="5"/>
  <c r="AD11" i="12" s="1"/>
  <c r="O14" i="5"/>
  <c r="AC5" i="12"/>
  <c r="M27" i="5"/>
  <c r="AA18" i="12"/>
  <c r="O21" i="5"/>
  <c r="AC12" i="12"/>
  <c r="N14" i="5"/>
  <c r="AB5" i="12"/>
  <c r="M23" i="5"/>
  <c r="AA14" i="12" s="1"/>
  <c r="N22" i="5"/>
  <c r="AB13" i="12"/>
  <c r="P21" i="5"/>
  <c r="AD12" i="12"/>
  <c r="N27" i="5"/>
  <c r="AB18" i="12"/>
  <c r="O34" i="5"/>
  <c r="M32" i="5"/>
  <c r="AA23" i="12"/>
  <c r="N34" i="5"/>
  <c r="AB25" i="12" s="1"/>
  <c r="N23" i="5"/>
  <c r="AB14" i="12" s="1"/>
  <c r="P10" i="12"/>
  <c r="P174" i="5"/>
  <c r="N18" i="5"/>
  <c r="AB9" i="12"/>
  <c r="P30" i="5"/>
  <c r="AD21" i="12" s="1"/>
  <c r="O174" i="5"/>
  <c r="N174" i="5"/>
  <c r="M174" i="5"/>
  <c r="O115" i="5"/>
  <c r="M116" i="5"/>
  <c r="O168" i="5"/>
  <c r="N116" i="5"/>
  <c r="M123" i="5"/>
  <c r="N134" i="5"/>
  <c r="M156" i="5"/>
  <c r="O130" i="5"/>
  <c r="N180" i="5"/>
  <c r="N31" i="5"/>
  <c r="AB22" i="12"/>
  <c r="N106" i="5"/>
  <c r="N108" i="5"/>
  <c r="P114" i="5"/>
  <c r="M117" i="5"/>
  <c r="P106" i="5"/>
  <c r="N120" i="5"/>
  <c r="N130" i="5"/>
  <c r="M136" i="5"/>
  <c r="M162" i="5"/>
  <c r="P133" i="5"/>
  <c r="Q133" i="5" s="1"/>
  <c r="N123" i="5"/>
  <c r="M108" i="5"/>
  <c r="M133" i="5"/>
  <c r="N156" i="5"/>
  <c r="P135" i="5"/>
  <c r="O117" i="5"/>
  <c r="O114" i="5"/>
  <c r="P107" i="5"/>
  <c r="M122" i="5"/>
  <c r="N136" i="5"/>
  <c r="N162" i="5"/>
  <c r="O107" i="5"/>
  <c r="P157" i="5"/>
  <c r="N30" i="5"/>
  <c r="AB21" i="12" s="1"/>
  <c r="N168" i="5"/>
  <c r="M106" i="5"/>
  <c r="N115" i="5"/>
  <c r="N117" i="5"/>
  <c r="N121" i="5"/>
  <c r="N133" i="5"/>
  <c r="M157" i="5"/>
  <c r="P121" i="5"/>
  <c r="O179" i="5"/>
  <c r="O180" i="5"/>
  <c r="M33" i="5"/>
  <c r="AA24" i="12"/>
  <c r="O122" i="5"/>
  <c r="P130" i="5"/>
  <c r="O136" i="5"/>
  <c r="O161" i="5"/>
  <c r="P179" i="5"/>
  <c r="P180" i="5"/>
  <c r="P25" i="5"/>
  <c r="AD16" i="12"/>
  <c r="P122" i="5"/>
  <c r="O133" i="5"/>
  <c r="P136" i="5"/>
  <c r="P27" i="5"/>
  <c r="AD18" i="12"/>
  <c r="O134" i="5"/>
  <c r="P161" i="5"/>
  <c r="O120" i="5"/>
  <c r="O123" i="5"/>
  <c r="P134" i="5"/>
  <c r="O156" i="5"/>
  <c r="O162" i="5"/>
  <c r="P23" i="5"/>
  <c r="AD14" i="12" s="1"/>
  <c r="P120" i="5"/>
  <c r="P123" i="5"/>
  <c r="P156" i="5"/>
  <c r="P162" i="5"/>
  <c r="M179" i="5"/>
  <c r="P37" i="5"/>
  <c r="AD28" i="12"/>
  <c r="O121" i="5"/>
  <c r="O135" i="5"/>
  <c r="O157" i="5"/>
  <c r="N114" i="5"/>
  <c r="N179" i="5"/>
  <c r="S24" i="11"/>
  <c r="N25" i="11"/>
  <c r="N24" i="11"/>
  <c r="S26" i="11"/>
  <c r="S25" i="11"/>
  <c r="AG24" i="11"/>
  <c r="AG26" i="11"/>
  <c r="AH26" i="11"/>
  <c r="N26" i="11"/>
  <c r="AG25" i="11"/>
  <c r="AC24" i="11"/>
  <c r="AH25" i="11"/>
  <c r="AA24" i="11"/>
  <c r="L26" i="11"/>
  <c r="R24" i="11"/>
  <c r="AF24" i="11"/>
  <c r="Q24" i="11"/>
  <c r="AB25" i="11"/>
  <c r="W26" i="11"/>
  <c r="X26" i="11"/>
  <c r="AA25" i="11"/>
  <c r="AB24" i="11"/>
  <c r="W24" i="11"/>
  <c r="W25" i="11"/>
  <c r="V25" i="11"/>
  <c r="M25" i="11"/>
  <c r="AF25" i="11"/>
  <c r="AF26" i="11"/>
  <c r="R25" i="11"/>
  <c r="R26" i="11"/>
  <c r="L25" i="11"/>
  <c r="AB26" i="11"/>
  <c r="M24" i="11"/>
  <c r="M26" i="11"/>
  <c r="L24" i="11"/>
  <c r="Q26" i="11"/>
  <c r="V26" i="11"/>
  <c r="V24" i="11"/>
  <c r="AA26" i="11"/>
  <c r="Q25" i="11"/>
  <c r="AC25" i="11"/>
  <c r="AC26" i="11"/>
  <c r="X24" i="11"/>
  <c r="X25" i="11"/>
  <c r="AH24" i="11"/>
  <c r="L15" i="5"/>
  <c r="Z6" i="12" s="1"/>
  <c r="G6" i="12"/>
  <c r="H6" i="12"/>
  <c r="I6" i="12" s="1"/>
  <c r="J6" i="12"/>
  <c r="K6" i="12" s="1"/>
  <c r="M115" i="5"/>
  <c r="M135" i="5"/>
  <c r="G7" i="12"/>
  <c r="H7" i="12"/>
  <c r="I7" i="12"/>
  <c r="J7" i="12" s="1"/>
  <c r="K7" i="12" s="1"/>
  <c r="M173" i="5"/>
  <c r="M107" i="5"/>
  <c r="M134" i="5"/>
  <c r="M13" i="5"/>
  <c r="AA4" i="12"/>
  <c r="K76" i="5"/>
  <c r="P13" i="5"/>
  <c r="AD4" i="12" s="1"/>
  <c r="N13" i="5"/>
  <c r="AB4" i="12" s="1"/>
  <c r="G4" i="12"/>
  <c r="H4" i="12" s="1"/>
  <c r="I4" i="12" s="1"/>
  <c r="J4" i="12" s="1"/>
  <c r="K4" i="12" s="1"/>
  <c r="L13" i="5"/>
  <c r="Z4" i="12" s="1"/>
  <c r="G9" i="12"/>
  <c r="H9" i="12"/>
  <c r="I9" i="12" s="1"/>
  <c r="J9" i="12" s="1"/>
  <c r="K9" i="12" s="1"/>
  <c r="L18" i="5"/>
  <c r="Z9" i="12"/>
  <c r="M18" i="5"/>
  <c r="AA9" i="12"/>
  <c r="L17" i="5"/>
  <c r="Z8" i="12"/>
  <c r="M17" i="5"/>
  <c r="AA8" i="12" s="1"/>
  <c r="G8" i="12"/>
  <c r="H8" i="12" s="1"/>
  <c r="I8" i="12" s="1"/>
  <c r="J8" i="12" s="1"/>
  <c r="K8" i="12" s="1"/>
  <c r="L42" i="5"/>
  <c r="Z33" i="12"/>
  <c r="L43" i="5"/>
  <c r="Z34" i="12"/>
  <c r="G33" i="12"/>
  <c r="G34" i="12"/>
  <c r="H34" i="12"/>
  <c r="I34" i="12" s="1"/>
  <c r="J34" i="12" s="1"/>
  <c r="K34" i="12" s="1"/>
  <c r="L19" i="5"/>
  <c r="Z10" i="12"/>
  <c r="G10" i="12"/>
  <c r="H10" i="12"/>
  <c r="I10" i="12"/>
  <c r="J10" i="12" s="1"/>
  <c r="K10" i="12" s="1"/>
  <c r="M19" i="5"/>
  <c r="AA10" i="12" s="1"/>
  <c r="G5" i="12"/>
  <c r="H5" i="12"/>
  <c r="I5" i="12"/>
  <c r="J5" i="12" s="1"/>
  <c r="K5" i="12" s="1"/>
  <c r="L14" i="5"/>
  <c r="Z5" i="12" s="1"/>
  <c r="M14" i="5"/>
  <c r="AA5" i="12" s="1"/>
  <c r="O60" i="5"/>
  <c r="M12" i="11"/>
  <c r="M30" i="5"/>
  <c r="AA21" i="12"/>
  <c r="G21" i="12"/>
  <c r="H21" i="12"/>
  <c r="I21" i="12"/>
  <c r="J21" i="12" s="1"/>
  <c r="K21" i="12" s="1"/>
  <c r="L30" i="5"/>
  <c r="Z21" i="12" s="1"/>
  <c r="AE21" i="12" s="1"/>
  <c r="G22" i="12"/>
  <c r="H22" i="12" s="1"/>
  <c r="I22" i="12" s="1"/>
  <c r="J22" i="12" s="1"/>
  <c r="K22" i="12" s="1"/>
  <c r="L31" i="5"/>
  <c r="Z22" i="12"/>
  <c r="S23" i="11"/>
  <c r="AC22" i="11"/>
  <c r="AH21" i="11"/>
  <c r="AG9" i="11"/>
  <c r="AH9" i="11"/>
  <c r="AH10" i="11"/>
  <c r="AH11" i="11"/>
  <c r="AH12" i="11"/>
  <c r="AC10" i="11"/>
  <c r="AG22" i="11"/>
  <c r="AG10" i="11"/>
  <c r="N22" i="11"/>
  <c r="S10" i="11"/>
  <c r="AB11" i="11"/>
  <c r="AC23" i="11"/>
  <c r="R23" i="11"/>
  <c r="N11" i="11"/>
  <c r="AC12" i="11"/>
  <c r="AC11" i="11"/>
  <c r="N9" i="11"/>
  <c r="AB12" i="11"/>
  <c r="X12" i="11"/>
  <c r="X23" i="11"/>
  <c r="X22" i="11"/>
  <c r="AB10" i="11"/>
  <c r="S9" i="11"/>
  <c r="N23" i="11"/>
  <c r="X10" i="11"/>
  <c r="AG11" i="11"/>
  <c r="W9" i="11"/>
  <c r="S11" i="11"/>
  <c r="R21" i="11"/>
  <c r="S12" i="11"/>
  <c r="AG12" i="11"/>
  <c r="X21" i="11"/>
  <c r="X11" i="11"/>
  <c r="S21" i="11"/>
  <c r="X9" i="11"/>
  <c r="R10" i="11"/>
  <c r="AF22" i="11"/>
  <c r="M9" i="11"/>
  <c r="AF9" i="11"/>
  <c r="AF11" i="11"/>
  <c r="AF12" i="11"/>
  <c r="M10" i="11"/>
  <c r="N10" i="11"/>
  <c r="AG21" i="11"/>
  <c r="AB21" i="11"/>
  <c r="W10" i="11"/>
  <c r="W22" i="11"/>
  <c r="W23" i="11"/>
  <c r="AB23" i="11"/>
  <c r="AB9" i="11"/>
  <c r="R9" i="11"/>
  <c r="AC9" i="11"/>
  <c r="M11" i="11"/>
  <c r="W12" i="11"/>
  <c r="AB22" i="11"/>
  <c r="W11" i="11"/>
  <c r="W21" i="11"/>
  <c r="AG23" i="11"/>
  <c r="AH22" i="11"/>
  <c r="S22" i="11"/>
  <c r="M22" i="11"/>
  <c r="AH23" i="11"/>
  <c r="R11" i="11"/>
  <c r="AF23" i="11"/>
  <c r="AF21" i="11"/>
  <c r="AC21" i="11"/>
  <c r="M21" i="11"/>
  <c r="R22" i="11"/>
  <c r="M23" i="11"/>
  <c r="R12" i="11"/>
  <c r="AF10" i="11"/>
  <c r="Q12" i="11"/>
  <c r="Q22" i="11"/>
  <c r="AN11" i="11"/>
  <c r="V11" i="11"/>
  <c r="AA11" i="11"/>
  <c r="L12" i="11"/>
  <c r="AA10" i="11"/>
  <c r="AA23" i="11"/>
  <c r="L23" i="11"/>
  <c r="V23" i="11"/>
  <c r="Q10" i="11"/>
  <c r="L11" i="11"/>
  <c r="V22" i="11"/>
  <c r="Q23" i="11"/>
  <c r="Q11" i="11"/>
  <c r="AA22" i="11"/>
  <c r="AA12" i="11"/>
  <c r="Q9" i="11"/>
  <c r="AO9" i="11"/>
  <c r="V10" i="11"/>
  <c r="N21" i="11"/>
  <c r="V9" i="11"/>
  <c r="AN12" i="11"/>
  <c r="L22" i="11"/>
  <c r="V21" i="11"/>
  <c r="L21" i="11"/>
  <c r="V12" i="11"/>
  <c r="AL10" i="11"/>
  <c r="L9" i="11"/>
  <c r="AA9" i="11"/>
  <c r="AO11" i="11"/>
  <c r="AO10" i="11"/>
  <c r="AA21" i="11"/>
  <c r="L10" i="11"/>
  <c r="AM11" i="11"/>
  <c r="AM10" i="11"/>
  <c r="Q21" i="11"/>
  <c r="AN10" i="11"/>
  <c r="AN9" i="11"/>
  <c r="AO12" i="11"/>
  <c r="AK9" i="11"/>
  <c r="AK11" i="11"/>
  <c r="AL9" i="11"/>
  <c r="AL12" i="11"/>
  <c r="AK12" i="11"/>
  <c r="AK10" i="11"/>
  <c r="AM9" i="11"/>
  <c r="AL11" i="11"/>
  <c r="AM12" i="11"/>
  <c r="P59" i="5"/>
  <c r="B22" i="12"/>
  <c r="N63" i="5"/>
  <c r="AH12" i="12"/>
  <c r="AN12" i="12" s="1"/>
  <c r="AI10" i="12"/>
  <c r="AO10" i="12" s="1"/>
  <c r="AJ10" i="12"/>
  <c r="AP10" i="12" s="1"/>
  <c r="AJ22" i="12"/>
  <c r="AP22" i="12" s="1"/>
  <c r="AI22" i="12"/>
  <c r="AO22" i="12" s="1"/>
  <c r="AK13" i="12"/>
  <c r="AQ13" i="12" s="1"/>
  <c r="L59" i="5"/>
  <c r="N37" i="5"/>
  <c r="AB28" i="12"/>
  <c r="L37" i="5"/>
  <c r="Z28" i="12" s="1"/>
  <c r="M37" i="5"/>
  <c r="AA28" i="12" s="1"/>
  <c r="N25" i="5"/>
  <c r="AB16" i="12"/>
  <c r="P33" i="5"/>
  <c r="AD24" i="12"/>
  <c r="D198" i="5"/>
  <c r="N21" i="5"/>
  <c r="AB12" i="12"/>
  <c r="N35" i="5"/>
  <c r="AB26" i="12"/>
  <c r="M20" i="5"/>
  <c r="AA11" i="12"/>
  <c r="O18" i="5"/>
  <c r="AC9" i="12" s="1"/>
  <c r="O23" i="5"/>
  <c r="AC14" i="12" s="1"/>
  <c r="O24" i="5"/>
  <c r="AC15" i="12"/>
  <c r="N20" i="5"/>
  <c r="AB11" i="12"/>
  <c r="P22" i="5"/>
  <c r="AD13" i="12"/>
  <c r="P32" i="5"/>
  <c r="AD23" i="12"/>
  <c r="P19" i="5"/>
  <c r="AD10" i="12" s="1"/>
  <c r="O32" i="5"/>
  <c r="N32" i="5"/>
  <c r="AB23" i="12" s="1"/>
  <c r="AE23" i="12" s="1"/>
  <c r="N33" i="5"/>
  <c r="AB24" i="12"/>
  <c r="O31" i="5"/>
  <c r="AC22" i="12" s="1"/>
  <c r="AE22" i="12" s="1"/>
  <c r="O19" i="5"/>
  <c r="AC10" i="12"/>
  <c r="P18" i="5"/>
  <c r="AD9" i="12"/>
  <c r="O35" i="5"/>
  <c r="AC26" i="12"/>
  <c r="N15" i="5"/>
  <c r="N16" i="5"/>
  <c r="AB7" i="12"/>
  <c r="M34" i="5"/>
  <c r="AA25" i="12" s="1"/>
  <c r="AE25" i="12" s="1"/>
  <c r="O22" i="5"/>
  <c r="AC13" i="12"/>
  <c r="P24" i="5"/>
  <c r="AD15" i="12" s="1"/>
  <c r="O26" i="5"/>
  <c r="AC17" i="12"/>
  <c r="P17" i="5"/>
  <c r="AD8" i="12"/>
  <c r="M25" i="5"/>
  <c r="AA16" i="12"/>
  <c r="M26" i="5"/>
  <c r="AA17" i="12"/>
  <c r="AE17" i="12" s="1"/>
  <c r="M22" i="5"/>
  <c r="AA13" i="12" s="1"/>
  <c r="O13" i="5"/>
  <c r="AC4" i="12" s="1"/>
  <c r="M21" i="5"/>
  <c r="AA12" i="12"/>
  <c r="N24" i="5"/>
  <c r="AB15" i="12" s="1"/>
  <c r="P35" i="5"/>
  <c r="AD26" i="12"/>
  <c r="M31" i="5"/>
  <c r="AA22" i="12"/>
  <c r="C10" i="12"/>
  <c r="E10" i="12" s="1"/>
  <c r="B10" i="12"/>
  <c r="P66" i="5"/>
  <c r="N60" i="5"/>
  <c r="V28" i="12"/>
  <c r="AK12" i="12"/>
  <c r="AQ12" i="12" s="1"/>
  <c r="C11" i="12"/>
  <c r="D11" i="12" s="1"/>
  <c r="P70" i="5"/>
  <c r="O70" i="5"/>
  <c r="N58" i="5"/>
  <c r="P58" i="5"/>
  <c r="G28" i="12"/>
  <c r="H28" i="12"/>
  <c r="I28" i="12"/>
  <c r="J28" i="12" s="1"/>
  <c r="K28" i="12" s="1"/>
  <c r="O37" i="5"/>
  <c r="AC28" i="12"/>
  <c r="O59" i="5"/>
  <c r="M59" i="5"/>
  <c r="N59" i="5"/>
  <c r="C23" i="12"/>
  <c r="D23" i="12" s="1"/>
  <c r="C12" i="7"/>
  <c r="H17" i="7" s="1"/>
  <c r="H20" i="7" s="1"/>
  <c r="D17" i="7"/>
  <c r="D20" i="7"/>
  <c r="G17" i="7"/>
  <c r="G20" i="7"/>
  <c r="C13" i="7"/>
  <c r="D18" i="7" s="1"/>
  <c r="D22" i="7" s="1"/>
  <c r="E18" i="7"/>
  <c r="E22" i="7" s="1"/>
  <c r="F18" i="7"/>
  <c r="F22" i="7" s="1"/>
  <c r="H18" i="7"/>
  <c r="H22" i="7" s="1"/>
  <c r="P172" i="5"/>
  <c r="O178" i="5"/>
  <c r="M181" i="5"/>
  <c r="M15" i="5"/>
  <c r="AA6" i="12"/>
  <c r="O30" i="5"/>
  <c r="AC21" i="12" s="1"/>
  <c r="M38" i="5"/>
  <c r="N26" i="5"/>
  <c r="AB17" i="12"/>
  <c r="M24" i="5"/>
  <c r="AA15" i="12"/>
  <c r="O33" i="5"/>
  <c r="AC24" i="12" s="1"/>
  <c r="O15" i="5"/>
  <c r="O25" i="5"/>
  <c r="AC16" i="12" s="1"/>
  <c r="P31" i="5"/>
  <c r="AD22" i="12"/>
  <c r="N19" i="5"/>
  <c r="Q19" i="5" s="1"/>
  <c r="P15" i="5"/>
  <c r="O27" i="5"/>
  <c r="AC18" i="12"/>
  <c r="P26" i="5"/>
  <c r="M35" i="5"/>
  <c r="N17" i="5"/>
  <c r="AB8" i="12"/>
  <c r="O16" i="5"/>
  <c r="AC7" i="12"/>
  <c r="M16" i="5"/>
  <c r="AA7" i="12"/>
  <c r="M175" i="5"/>
  <c r="P181" i="5"/>
  <c r="O181" i="5"/>
  <c r="N181" i="5"/>
  <c r="AC25" i="12"/>
  <c r="O105" i="5"/>
  <c r="O109" i="5" s="1"/>
  <c r="O98" i="5"/>
  <c r="M101" i="5"/>
  <c r="N128" i="5"/>
  <c r="N178" i="5"/>
  <c r="O71" i="5"/>
  <c r="P98" i="5"/>
  <c r="O101" i="5"/>
  <c r="M128" i="5"/>
  <c r="Q128" i="5" s="1"/>
  <c r="L64" i="5"/>
  <c r="N71" i="5"/>
  <c r="L71" i="5"/>
  <c r="M71" i="5"/>
  <c r="O99" i="5"/>
  <c r="M130" i="5"/>
  <c r="Q130" i="5" s="1"/>
  <c r="O127" i="5"/>
  <c r="P175" i="5"/>
  <c r="Q175" i="5" s="1"/>
  <c r="M100" i="5"/>
  <c r="O129" i="5"/>
  <c r="N126" i="5"/>
  <c r="M178" i="5"/>
  <c r="AG17" i="12"/>
  <c r="AM17" i="12" s="1"/>
  <c r="M78" i="5"/>
  <c r="C6" i="12"/>
  <c r="D6" i="12" s="1"/>
  <c r="M172" i="5"/>
  <c r="O175" i="5"/>
  <c r="N99" i="5"/>
  <c r="P100" i="5"/>
  <c r="N129" i="5"/>
  <c r="N127" i="5"/>
  <c r="N173" i="5"/>
  <c r="N175" i="5"/>
  <c r="N172" i="5"/>
  <c r="M114" i="5"/>
  <c r="N101" i="5"/>
  <c r="P128" i="5"/>
  <c r="M126" i="5"/>
  <c r="O172" i="5"/>
  <c r="AB6" i="12"/>
  <c r="M76" i="5"/>
  <c r="B18" i="12"/>
  <c r="AI18" i="12"/>
  <c r="AO18" i="12" s="1"/>
  <c r="AG18" i="12"/>
  <c r="AM18" i="12" s="1"/>
  <c r="N42" i="5"/>
  <c r="AB33" i="12"/>
  <c r="AH18" i="12"/>
  <c r="AN18" i="12" s="1"/>
  <c r="AK15" i="12"/>
  <c r="AQ15" i="12" s="1"/>
  <c r="AK17" i="12"/>
  <c r="AQ17" i="12" s="1"/>
  <c r="M158" i="5"/>
  <c r="D22" i="11" s="1"/>
  <c r="R140" i="5"/>
  <c r="AJ6" i="12"/>
  <c r="AP6" i="12" s="1"/>
  <c r="AH6" i="12"/>
  <c r="AN6" i="12" s="1"/>
  <c r="C17" i="12"/>
  <c r="E17" i="12" s="1"/>
  <c r="W17" i="12" s="1"/>
  <c r="AG6" i="12"/>
  <c r="AM6" i="12" s="1"/>
  <c r="AI6" i="12"/>
  <c r="AO6" i="12" s="1"/>
  <c r="M61" i="5"/>
  <c r="M69" i="5"/>
  <c r="AK6" i="12"/>
  <c r="AQ6" i="12" s="1"/>
  <c r="Q156" i="5"/>
  <c r="H33" i="12"/>
  <c r="I33" i="12" s="1"/>
  <c r="J33" i="12" s="1"/>
  <c r="K33" i="12" s="1"/>
  <c r="AK26" i="12"/>
  <c r="AQ26" i="12" s="1"/>
  <c r="V9" i="5"/>
  <c r="W9" i="5" s="1"/>
  <c r="X9" i="5" s="1"/>
  <c r="Y9" i="5" s="1"/>
  <c r="Z9" i="5" s="1"/>
  <c r="AA9" i="5" s="1"/>
  <c r="AI15" i="12"/>
  <c r="AO15" i="12" s="1"/>
  <c r="AH15" i="12"/>
  <c r="AN15" i="12" s="1"/>
  <c r="AG26" i="12"/>
  <c r="AM26" i="12" s="1"/>
  <c r="B26" i="12"/>
  <c r="B17" i="12"/>
  <c r="N76" i="5"/>
  <c r="O61" i="5"/>
  <c r="AJ17" i="12"/>
  <c r="AP17" i="12" s="1"/>
  <c r="P61" i="5"/>
  <c r="AI17" i="12"/>
  <c r="AO17" i="12" s="1"/>
  <c r="AH17" i="12"/>
  <c r="AN17" i="12" s="1"/>
  <c r="L61" i="5"/>
  <c r="Q115" i="5"/>
  <c r="AH13" i="12"/>
  <c r="AN13" i="12" s="1"/>
  <c r="B13" i="12"/>
  <c r="AG9" i="12"/>
  <c r="AM9" i="12" s="1"/>
  <c r="AJ8" i="12"/>
  <c r="AP8" i="12" s="1"/>
  <c r="C13" i="12"/>
  <c r="E13" i="12" s="1"/>
  <c r="U13" i="12" s="1"/>
  <c r="O67" i="5"/>
  <c r="AG8" i="12"/>
  <c r="AM8" i="12" s="1"/>
  <c r="AH8" i="12"/>
  <c r="AN8" i="12" s="1"/>
  <c r="M75" i="5"/>
  <c r="M67" i="5"/>
  <c r="N75" i="5"/>
  <c r="X28" i="12"/>
  <c r="Q108" i="5"/>
  <c r="N131" i="5"/>
  <c r="E16" i="11" s="1"/>
  <c r="N109" i="5"/>
  <c r="E12" i="11" s="1"/>
  <c r="P118" i="5"/>
  <c r="G14" i="11"/>
  <c r="P154" i="5"/>
  <c r="G18" i="11"/>
  <c r="P80" i="5"/>
  <c r="M163" i="5"/>
  <c r="D23" i="11" s="1"/>
  <c r="Q168" i="5"/>
  <c r="R144" i="5"/>
  <c r="AI26" i="12"/>
  <c r="AO26" i="12" s="1"/>
  <c r="AJ26" i="12"/>
  <c r="AP26" i="12" s="1"/>
  <c r="AJ15" i="12"/>
  <c r="AP15" i="12" s="1"/>
  <c r="O68" i="5"/>
  <c r="O163" i="5"/>
  <c r="F23" i="11" s="1"/>
  <c r="P158" i="5"/>
  <c r="G22" i="11" s="1"/>
  <c r="Q135" i="5"/>
  <c r="O43" i="5"/>
  <c r="AC34" i="12" s="1"/>
  <c r="AH14" i="12"/>
  <c r="AN14" i="12" s="1"/>
  <c r="N158" i="5"/>
  <c r="E22" i="11"/>
  <c r="M50" i="5"/>
  <c r="AA41" i="12" s="1"/>
  <c r="AH26" i="12"/>
  <c r="AN26" i="12" s="1"/>
  <c r="N68" i="5"/>
  <c r="AK21" i="12"/>
  <c r="AQ21" i="12" s="1"/>
  <c r="AG15" i="12"/>
  <c r="AM15" i="12" s="1"/>
  <c r="C15" i="12"/>
  <c r="E15" i="12" s="1"/>
  <c r="V15" i="12" s="1"/>
  <c r="M68" i="5"/>
  <c r="L67" i="5"/>
  <c r="M182" i="5"/>
  <c r="D26" i="11" s="1"/>
  <c r="AR30" i="12"/>
  <c r="P68" i="5"/>
  <c r="B16" i="12"/>
  <c r="M62" i="5"/>
  <c r="P163" i="5"/>
  <c r="G23" i="11"/>
  <c r="L154" i="5"/>
  <c r="C18" i="11" s="1"/>
  <c r="P62" i="5"/>
  <c r="Q129" i="5"/>
  <c r="Q98" i="5"/>
  <c r="P109" i="5"/>
  <c r="G12" i="11" s="1"/>
  <c r="B24" i="12"/>
  <c r="N62" i="5"/>
  <c r="Q152" i="5"/>
  <c r="O62" i="5"/>
  <c r="AI21" i="12"/>
  <c r="AO21" i="12" s="1"/>
  <c r="Q145" i="5"/>
  <c r="N67" i="5"/>
  <c r="N163" i="5"/>
  <c r="E23" i="11" s="1"/>
  <c r="Z12" i="12"/>
  <c r="V43" i="12"/>
  <c r="W43" i="12"/>
  <c r="Q161" i="5"/>
  <c r="AI24" i="12"/>
  <c r="AO24" i="12" s="1"/>
  <c r="C24" i="12"/>
  <c r="E24" i="12" s="1"/>
  <c r="B14" i="12"/>
  <c r="AK10" i="12"/>
  <c r="AQ10" i="12" s="1"/>
  <c r="Q149" i="5"/>
  <c r="AJ25" i="12"/>
  <c r="AP25" i="12" s="1"/>
  <c r="O66" i="5"/>
  <c r="AH10" i="12"/>
  <c r="AN10" i="12" s="1"/>
  <c r="M65" i="5"/>
  <c r="Q121" i="5"/>
  <c r="M118" i="5"/>
  <c r="D14" i="11" s="1"/>
  <c r="O75" i="5"/>
  <c r="AG25" i="12"/>
  <c r="AM25" i="12" s="1"/>
  <c r="P75" i="5"/>
  <c r="AI25" i="12"/>
  <c r="AO25" i="12" s="1"/>
  <c r="AK24" i="12"/>
  <c r="AQ24" i="12" s="1"/>
  <c r="L66" i="5"/>
  <c r="N118" i="5"/>
  <c r="E14" i="11"/>
  <c r="Q123" i="5"/>
  <c r="O124" i="5"/>
  <c r="F15" i="11"/>
  <c r="Q141" i="5"/>
  <c r="Q181" i="5"/>
  <c r="P65" i="5"/>
  <c r="O65" i="5"/>
  <c r="AG14" i="12"/>
  <c r="AM14" i="12" s="1"/>
  <c r="Q157" i="5"/>
  <c r="O131" i="5"/>
  <c r="F16" i="11"/>
  <c r="Q24" i="5"/>
  <c r="L65" i="5"/>
  <c r="N66" i="5"/>
  <c r="AK25" i="12"/>
  <c r="AQ25" i="12" s="1"/>
  <c r="Q106" i="5"/>
  <c r="AJ24" i="12"/>
  <c r="AP24" i="12" s="1"/>
  <c r="Q162" i="5"/>
  <c r="O137" i="5"/>
  <c r="F17" i="11"/>
  <c r="M154" i="5"/>
  <c r="D18" i="11" s="1"/>
  <c r="C25" i="12"/>
  <c r="D25" i="12" s="1"/>
  <c r="N38" i="5"/>
  <c r="AA29" i="12"/>
  <c r="N137" i="5"/>
  <c r="E17" i="11"/>
  <c r="Q174" i="5"/>
  <c r="AI14" i="12"/>
  <c r="AO14" i="12" s="1"/>
  <c r="AJ14" i="12"/>
  <c r="AP14" i="12" s="1"/>
  <c r="C14" i="12"/>
  <c r="D14" i="12" s="1"/>
  <c r="M77" i="5"/>
  <c r="Q101" i="5"/>
  <c r="P77" i="5"/>
  <c r="Q32" i="5"/>
  <c r="AC23" i="12"/>
  <c r="Q180" i="5"/>
  <c r="N64" i="5"/>
  <c r="O64" i="5"/>
  <c r="P64" i="5"/>
  <c r="M64" i="5"/>
  <c r="M42" i="5"/>
  <c r="O42" i="5"/>
  <c r="AC33" i="12"/>
  <c r="M49" i="5"/>
  <c r="AA40" i="12" s="1"/>
  <c r="P49" i="5"/>
  <c r="AD40" i="12" s="1"/>
  <c r="AD43" i="12" s="1"/>
  <c r="P42" i="5"/>
  <c r="AD33" i="12" s="1"/>
  <c r="P50" i="5"/>
  <c r="AD41" i="12" s="1"/>
  <c r="N43" i="5"/>
  <c r="AB34" i="12"/>
  <c r="M43" i="5"/>
  <c r="D199" i="5"/>
  <c r="P43" i="5"/>
  <c r="AD34" i="12"/>
  <c r="N49" i="5"/>
  <c r="AB40" i="12" s="1"/>
  <c r="Q122" i="5"/>
  <c r="AA26" i="12"/>
  <c r="AE26" i="12" s="1"/>
  <c r="Q35" i="5"/>
  <c r="V31" i="12"/>
  <c r="V11" i="5"/>
  <c r="L166" i="5" s="1"/>
  <c r="V10" i="5"/>
  <c r="W10" i="5" s="1"/>
  <c r="X10" i="5" s="1"/>
  <c r="N80" i="5"/>
  <c r="AJ21" i="12"/>
  <c r="AP21" i="12" s="1"/>
  <c r="B21" i="12"/>
  <c r="AG21" i="12"/>
  <c r="AM21" i="12" s="1"/>
  <c r="AH21" i="12"/>
  <c r="AN21" i="12" s="1"/>
  <c r="AK22" i="12"/>
  <c r="AQ22" i="12" s="1"/>
  <c r="AH22" i="12"/>
  <c r="AN22" i="12" s="1"/>
  <c r="AG22" i="12"/>
  <c r="AM22" i="12" s="1"/>
  <c r="AI12" i="12"/>
  <c r="AO12" i="12" s="1"/>
  <c r="B12" i="12"/>
  <c r="C12" i="12"/>
  <c r="E12" i="12" s="1"/>
  <c r="AG12" i="12"/>
  <c r="AM12" i="12" s="1"/>
  <c r="AJ12" i="12"/>
  <c r="AP12" i="12" s="1"/>
  <c r="X33" i="12"/>
  <c r="O76" i="5"/>
  <c r="L76" i="5"/>
  <c r="L70" i="5"/>
  <c r="N70" i="5"/>
  <c r="M70" i="5"/>
  <c r="M63" i="5"/>
  <c r="L63" i="5"/>
  <c r="O63" i="5"/>
  <c r="P63" i="5"/>
  <c r="M58" i="5"/>
  <c r="L58" i="5"/>
  <c r="O58" i="5"/>
  <c r="AH5" i="12"/>
  <c r="AN5" i="12" s="1"/>
  <c r="C5" i="12"/>
  <c r="D5" i="12" s="1"/>
  <c r="AJ5" i="12"/>
  <c r="AP5" i="12" s="1"/>
  <c r="B5" i="12"/>
  <c r="AG5" i="12"/>
  <c r="AM5" i="12" s="1"/>
  <c r="AD17" i="12"/>
  <c r="Q26" i="5"/>
  <c r="AI8" i="12"/>
  <c r="AO8" i="12" s="1"/>
  <c r="C8" i="12"/>
  <c r="E8" i="12" s="1"/>
  <c r="AJ18" i="12"/>
  <c r="AP18" i="12" s="1"/>
  <c r="C18" i="12"/>
  <c r="E18" i="12" s="1"/>
  <c r="V18" i="12" s="1"/>
  <c r="B48" i="11"/>
  <c r="P69" i="5"/>
  <c r="L69" i="5"/>
  <c r="O69" i="5"/>
  <c r="M60" i="5"/>
  <c r="L60" i="5"/>
  <c r="P60" i="5"/>
  <c r="M176" i="5"/>
  <c r="Z13" i="12"/>
  <c r="C7" i="12"/>
  <c r="E7" i="12" s="1"/>
  <c r="AK7" i="12"/>
  <c r="AQ7" i="12" s="1"/>
  <c r="S43" i="12"/>
  <c r="AK5" i="12"/>
  <c r="AQ5" i="12" s="1"/>
  <c r="N182" i="5"/>
  <c r="E26" i="11"/>
  <c r="N124" i="5"/>
  <c r="E15" i="11"/>
  <c r="O118" i="5"/>
  <c r="F14" i="11" s="1"/>
  <c r="Q151" i="5"/>
  <c r="O158" i="5"/>
  <c r="F22" i="11" s="1"/>
  <c r="H22" i="11" s="1"/>
  <c r="P124" i="5"/>
  <c r="G15" i="11"/>
  <c r="P137" i="5"/>
  <c r="G17" i="11" s="1"/>
  <c r="H17" i="11" s="1"/>
  <c r="Q114" i="5"/>
  <c r="N176" i="5"/>
  <c r="E25" i="11" s="1"/>
  <c r="Q107" i="5"/>
  <c r="AD6" i="12"/>
  <c r="O182" i="5"/>
  <c r="F26" i="11" s="1"/>
  <c r="Q23" i="5"/>
  <c r="Q172" i="5"/>
  <c r="Q120" i="5"/>
  <c r="Q30" i="5"/>
  <c r="AJ7" i="12"/>
  <c r="AP7" i="12" s="1"/>
  <c r="AE39" i="12"/>
  <c r="AG7" i="12"/>
  <c r="AM7" i="12" s="1"/>
  <c r="B7" i="12"/>
  <c r="M137" i="5"/>
  <c r="N102" i="5"/>
  <c r="Q31" i="5"/>
  <c r="AI7" i="12"/>
  <c r="AO7" i="12" s="1"/>
  <c r="Q134" i="5"/>
  <c r="R148" i="5"/>
  <c r="X29" i="12"/>
  <c r="Q17" i="5"/>
  <c r="Z31" i="12"/>
  <c r="AH7" i="12"/>
  <c r="AN7" i="12" s="1"/>
  <c r="Q117" i="5"/>
  <c r="Q136" i="5"/>
  <c r="AK9" i="12"/>
  <c r="AQ9" i="12" s="1"/>
  <c r="AH9" i="12"/>
  <c r="AN9" i="12" s="1"/>
  <c r="AH23" i="12"/>
  <c r="AN23" i="12" s="1"/>
  <c r="AI23" i="12"/>
  <c r="AO23" i="12" s="1"/>
  <c r="V8" i="5"/>
  <c r="W8" i="5" s="1"/>
  <c r="X8" i="5" s="1"/>
  <c r="Y8" i="5" s="1"/>
  <c r="AI5" i="12"/>
  <c r="AO5" i="12" s="1"/>
  <c r="B8" i="12"/>
  <c r="AG13" i="12"/>
  <c r="AM13" i="12" s="1"/>
  <c r="B25" i="12"/>
  <c r="V12" i="5"/>
  <c r="W12" i="5" s="1"/>
  <c r="X12" i="5" s="1"/>
  <c r="Y12" i="5" s="1"/>
  <c r="Z12" i="5" s="1"/>
  <c r="AA12" i="5" s="1"/>
  <c r="AH24" i="12"/>
  <c r="AN24" i="12" s="1"/>
  <c r="AI13" i="12"/>
  <c r="AO13" i="12" s="1"/>
  <c r="P178" i="5"/>
  <c r="P182" i="5" s="1"/>
  <c r="G26" i="11" s="1"/>
  <c r="N154" i="5"/>
  <c r="H23" i="11"/>
  <c r="Q118" i="5"/>
  <c r="Q163" i="5"/>
  <c r="Q158" i="5"/>
  <c r="AA34" i="12"/>
  <c r="AE34" i="12" s="1"/>
  <c r="Q43" i="5"/>
  <c r="Q42" i="5"/>
  <c r="AA33" i="12"/>
  <c r="D25" i="11"/>
  <c r="O38" i="5"/>
  <c r="AB29" i="12"/>
  <c r="W13" i="12"/>
  <c r="S13" i="12"/>
  <c r="D17" i="11"/>
  <c r="Q137" i="5"/>
  <c r="E11" i="11"/>
  <c r="E18" i="11"/>
  <c r="H18" i="11"/>
  <c r="Q154" i="5"/>
  <c r="Q178" i="5"/>
  <c r="AE33" i="12"/>
  <c r="AC29" i="12"/>
  <c r="AC31" i="12"/>
  <c r="P38" i="5"/>
  <c r="AD29" i="12" s="1"/>
  <c r="AD31" i="12" s="1"/>
  <c r="Q38" i="5"/>
  <c r="AE13" i="12"/>
  <c r="AE14" i="12"/>
  <c r="AE8" i="12"/>
  <c r="AE7" i="12"/>
  <c r="AA31" i="12"/>
  <c r="AE28" i="12"/>
  <c r="AC6" i="12"/>
  <c r="AE6" i="12"/>
  <c r="M53" i="5"/>
  <c r="Q18" i="5"/>
  <c r="Q27" i="5"/>
  <c r="Q37" i="5"/>
  <c r="Q25" i="5"/>
  <c r="Q14" i="5"/>
  <c r="Q21" i="5"/>
  <c r="Q16" i="5"/>
  <c r="Q34" i="5"/>
  <c r="Q22" i="5"/>
  <c r="C24" i="9"/>
  <c r="C25" i="9" s="1"/>
  <c r="D7" i="11"/>
  <c r="G23" i="9" l="1"/>
  <c r="H11" i="9"/>
  <c r="H21" i="9" s="1"/>
  <c r="G18" i="9"/>
  <c r="G17" i="9"/>
  <c r="G19" i="9"/>
  <c r="W11" i="5"/>
  <c r="M167" i="5" s="1"/>
  <c r="L167" i="5"/>
  <c r="L169" i="5" s="1"/>
  <c r="E6" i="12"/>
  <c r="V6" i="12" s="1"/>
  <c r="D13" i="12"/>
  <c r="E22" i="12"/>
  <c r="W22" i="12" s="1"/>
  <c r="V13" i="12"/>
  <c r="B4" i="12"/>
  <c r="T13" i="12"/>
  <c r="AF20" i="11"/>
  <c r="C4" i="12"/>
  <c r="D4" i="12" s="1"/>
  <c r="E21" i="12"/>
  <c r="W21" i="12" s="1"/>
  <c r="D19" i="12"/>
  <c r="D18" i="12"/>
  <c r="W26" i="12"/>
  <c r="W6" i="12"/>
  <c r="E14" i="12"/>
  <c r="S14" i="12" s="1"/>
  <c r="D10" i="12"/>
  <c r="D15" i="12"/>
  <c r="D26" i="12"/>
  <c r="S22" i="12"/>
  <c r="U6" i="12"/>
  <c r="S6" i="12"/>
  <c r="E11" i="12"/>
  <c r="U11" i="12" s="1"/>
  <c r="T6" i="12"/>
  <c r="AE4" i="12"/>
  <c r="Q13" i="5"/>
  <c r="P53" i="5"/>
  <c r="T7" i="12"/>
  <c r="S7" i="12"/>
  <c r="W7" i="12"/>
  <c r="V7" i="12"/>
  <c r="U7" i="12"/>
  <c r="V8" i="12"/>
  <c r="U8" i="12"/>
  <c r="W8" i="12"/>
  <c r="T8" i="12"/>
  <c r="S24" i="12"/>
  <c r="V24" i="12"/>
  <c r="U10" i="12"/>
  <c r="V10" i="12"/>
  <c r="T10" i="12"/>
  <c r="S10" i="12"/>
  <c r="W10" i="12"/>
  <c r="E23" i="12"/>
  <c r="D7" i="12"/>
  <c r="E25" i="12"/>
  <c r="W25" i="12" s="1"/>
  <c r="O88" i="5"/>
  <c r="AD42" i="11" s="1"/>
  <c r="D8" i="12"/>
  <c r="W18" i="12"/>
  <c r="D24" i="12"/>
  <c r="E5" i="12"/>
  <c r="U5" i="12" s="1"/>
  <c r="U17" i="12"/>
  <c r="S12" i="12"/>
  <c r="U12" i="12"/>
  <c r="T12" i="12"/>
  <c r="W12" i="12"/>
  <c r="V12" i="12"/>
  <c r="AK4" i="12"/>
  <c r="AQ4" i="12" s="1"/>
  <c r="AJ4" i="12"/>
  <c r="AP4" i="12" s="1"/>
  <c r="F8" i="11"/>
  <c r="AG19" i="11"/>
  <c r="T15" i="12"/>
  <c r="P88" i="5"/>
  <c r="AI42" i="11" s="1"/>
  <c r="D12" i="12"/>
  <c r="AF19" i="11"/>
  <c r="AG20" i="11"/>
  <c r="S18" i="12"/>
  <c r="R19" i="11"/>
  <c r="V25" i="12"/>
  <c r="AB19" i="11"/>
  <c r="T18" i="12"/>
  <c r="S25" i="12"/>
  <c r="U15" i="12"/>
  <c r="L88" i="5"/>
  <c r="O42" i="11" s="1"/>
  <c r="S21" i="12"/>
  <c r="D17" i="12"/>
  <c r="V19" i="11"/>
  <c r="V21" i="12"/>
  <c r="AI4" i="12"/>
  <c r="AO4" i="12" s="1"/>
  <c r="W24" i="12"/>
  <c r="G8" i="11"/>
  <c r="M19" i="11"/>
  <c r="C8" i="11"/>
  <c r="T21" i="12"/>
  <c r="M88" i="5"/>
  <c r="T42" i="11" s="1"/>
  <c r="V17" i="12"/>
  <c r="V5" i="12"/>
  <c r="U18" i="12"/>
  <c r="T24" i="12"/>
  <c r="U24" i="12"/>
  <c r="S15" i="12"/>
  <c r="D8" i="11"/>
  <c r="N88" i="5"/>
  <c r="Y42" i="11" s="1"/>
  <c r="T17" i="12"/>
  <c r="T5" i="12"/>
  <c r="T25" i="12"/>
  <c r="U25" i="12"/>
  <c r="W15" i="12"/>
  <c r="S17" i="12"/>
  <c r="E8" i="11"/>
  <c r="U21" i="12"/>
  <c r="AH4" i="12"/>
  <c r="AN4" i="12" s="1"/>
  <c r="AA19" i="11"/>
  <c r="AG4" i="12"/>
  <c r="AM4" i="12" s="1"/>
  <c r="H14" i="11"/>
  <c r="AE29" i="12"/>
  <c r="H26" i="11"/>
  <c r="AE10" i="12"/>
  <c r="F12" i="11"/>
  <c r="H12" i="11" s="1"/>
  <c r="Q109" i="5"/>
  <c r="AA43" i="12"/>
  <c r="R20" i="11" s="1"/>
  <c r="Q15" i="5"/>
  <c r="Q179" i="5"/>
  <c r="M80" i="5"/>
  <c r="L80" i="5"/>
  <c r="O80" i="5"/>
  <c r="H21" i="11"/>
  <c r="T43" i="12"/>
  <c r="E10" i="11"/>
  <c r="H10" i="11" s="1"/>
  <c r="Q96" i="5"/>
  <c r="O79" i="5"/>
  <c r="P79" i="5"/>
  <c r="M79" i="5"/>
  <c r="L79" i="5"/>
  <c r="N79" i="5"/>
  <c r="U26" i="12"/>
  <c r="T26" i="12"/>
  <c r="V26" i="12"/>
  <c r="N50" i="5"/>
  <c r="G40" i="12"/>
  <c r="O50" i="5"/>
  <c r="AC41" i="12" s="1"/>
  <c r="L49" i="5"/>
  <c r="O49" i="5"/>
  <c r="L50" i="5"/>
  <c r="AB31" i="12"/>
  <c r="AE31" i="12" s="1"/>
  <c r="AE15" i="12"/>
  <c r="C16" i="12"/>
  <c r="AJ16" i="12"/>
  <c r="AP16" i="12" s="1"/>
  <c r="AK16" i="12"/>
  <c r="AQ16" i="12" s="1"/>
  <c r="AH16" i="12"/>
  <c r="AN16" i="12" s="1"/>
  <c r="AI16" i="12"/>
  <c r="AO16" i="12" s="1"/>
  <c r="B46" i="11"/>
  <c r="AG16" i="12"/>
  <c r="AM16" i="12" s="1"/>
  <c r="AE12" i="12"/>
  <c r="N78" i="5"/>
  <c r="L78" i="5"/>
  <c r="P78" i="5"/>
  <c r="O78" i="5"/>
  <c r="Q105" i="5"/>
  <c r="Z24" i="12"/>
  <c r="AE24" i="12" s="1"/>
  <c r="Q33" i="5"/>
  <c r="L77" i="5"/>
  <c r="O77" i="5"/>
  <c r="N77" i="5"/>
  <c r="X34" i="12"/>
  <c r="T22" i="12"/>
  <c r="U22" i="12"/>
  <c r="AE5" i="12"/>
  <c r="AE9" i="12"/>
  <c r="S8" i="12"/>
  <c r="Q182" i="5"/>
  <c r="R152" i="5"/>
  <c r="M124" i="5"/>
  <c r="AE18" i="12"/>
  <c r="AK23" i="12"/>
  <c r="AQ23" i="12" s="1"/>
  <c r="AG23" i="12"/>
  <c r="AM23" i="12" s="1"/>
  <c r="B23" i="12"/>
  <c r="AJ23" i="12"/>
  <c r="AP23" i="12" s="1"/>
  <c r="P176" i="5"/>
  <c r="G25" i="11" s="1"/>
  <c r="Q19" i="11"/>
  <c r="Z11" i="12"/>
  <c r="AE11" i="12" s="1"/>
  <c r="Q20" i="5"/>
  <c r="E7" i="11"/>
  <c r="AI9" i="12"/>
  <c r="AO9" i="12" s="1"/>
  <c r="AJ9" i="12"/>
  <c r="AP9" i="12" s="1"/>
  <c r="L20" i="11"/>
  <c r="L39" i="11" s="1"/>
  <c r="B9" i="12"/>
  <c r="C9" i="12"/>
  <c r="Q20" i="11"/>
  <c r="W19" i="11"/>
  <c r="AA20" i="11"/>
  <c r="AG11" i="12"/>
  <c r="AM11" i="12" s="1"/>
  <c r="AI11" i="12"/>
  <c r="AO11" i="12" s="1"/>
  <c r="B11" i="12"/>
  <c r="AK11" i="12"/>
  <c r="AQ11" i="12" s="1"/>
  <c r="AH11" i="12"/>
  <c r="AN11" i="12" s="1"/>
  <c r="AJ11" i="12"/>
  <c r="AP11" i="12" s="1"/>
  <c r="X40" i="12"/>
  <c r="U43" i="12"/>
  <c r="V20" i="11" s="1"/>
  <c r="W31" i="12"/>
  <c r="X31" i="12" s="1"/>
  <c r="M102" i="5"/>
  <c r="AB10" i="12"/>
  <c r="O173" i="5"/>
  <c r="P99" i="5"/>
  <c r="P102" i="5" s="1"/>
  <c r="G11" i="11" s="1"/>
  <c r="M127" i="5"/>
  <c r="I17" i="9"/>
  <c r="B27" i="9" s="1"/>
  <c r="I18" i="9"/>
  <c r="B28" i="9" s="1"/>
  <c r="N7" i="5"/>
  <c r="O100" i="5"/>
  <c r="P126" i="5"/>
  <c r="G18" i="7"/>
  <c r="G22" i="7" s="1"/>
  <c r="T24" i="11"/>
  <c r="F17" i="7"/>
  <c r="F20" i="7" s="1"/>
  <c r="E17" i="7"/>
  <c r="E20" i="7" s="1"/>
  <c r="T13" i="11"/>
  <c r="Y23" i="11"/>
  <c r="G20" i="9"/>
  <c r="I20" i="9" s="1"/>
  <c r="B30" i="9" s="1"/>
  <c r="Y36" i="11"/>
  <c r="Y30" i="11"/>
  <c r="AD30" i="11"/>
  <c r="G22" i="9"/>
  <c r="I22" i="9" s="1"/>
  <c r="I21" i="9"/>
  <c r="B31" i="9" s="1"/>
  <c r="Y24" i="11"/>
  <c r="Y21" i="11"/>
  <c r="AD12" i="11"/>
  <c r="I19" i="9"/>
  <c r="B29" i="9" s="1"/>
  <c r="Y35" i="11"/>
  <c r="T21" i="11"/>
  <c r="T14" i="11"/>
  <c r="AD10" i="11"/>
  <c r="H6" i="9"/>
  <c r="H16" i="9" s="1"/>
  <c r="I16" i="9" s="1"/>
  <c r="B26" i="9" s="1"/>
  <c r="L57" i="5" s="1"/>
  <c r="Y32" i="11"/>
  <c r="AI16" i="11"/>
  <c r="O34" i="11"/>
  <c r="O13" i="11"/>
  <c r="O31" i="11"/>
  <c r="AR6" i="12"/>
  <c r="O23" i="11"/>
  <c r="T23" i="11"/>
  <c r="AD25" i="11"/>
  <c r="O30" i="11"/>
  <c r="AD16" i="11"/>
  <c r="T27" i="11"/>
  <c r="Q68" i="5"/>
  <c r="Y15" i="11"/>
  <c r="AD35" i="11"/>
  <c r="T36" i="11"/>
  <c r="AR15" i="12"/>
  <c r="T31" i="11"/>
  <c r="I23" i="9"/>
  <c r="Q67" i="5"/>
  <c r="Y16" i="11"/>
  <c r="AR21" i="12"/>
  <c r="Q59" i="5"/>
  <c r="AD22" i="11"/>
  <c r="O29" i="11"/>
  <c r="AD15" i="11"/>
  <c r="T16" i="11"/>
  <c r="T10" i="11"/>
  <c r="AR5" i="12"/>
  <c r="Q76" i="5"/>
  <c r="Q58" i="5"/>
  <c r="O16" i="11"/>
  <c r="AD28" i="11"/>
  <c r="AR7" i="12"/>
  <c r="AR18" i="12"/>
  <c r="O22" i="11"/>
  <c r="Y22" i="11"/>
  <c r="Q62" i="5"/>
  <c r="Q60" i="5"/>
  <c r="Q71" i="5"/>
  <c r="AR17" i="12"/>
  <c r="Q69" i="5"/>
  <c r="AR12" i="12"/>
  <c r="AI15" i="11"/>
  <c r="Q61" i="5"/>
  <c r="Q70" i="5"/>
  <c r="Q64" i="5"/>
  <c r="AR26" i="12"/>
  <c r="AI23" i="11"/>
  <c r="Y27" i="11"/>
  <c r="AD27" i="11"/>
  <c r="T28" i="11"/>
  <c r="Y9" i="11"/>
  <c r="AR25" i="12"/>
  <c r="T11" i="11"/>
  <c r="AR24" i="12"/>
  <c r="T22" i="11"/>
  <c r="AI11" i="11"/>
  <c r="AD23" i="11"/>
  <c r="AR8" i="12"/>
  <c r="Q65" i="5"/>
  <c r="Q75" i="5"/>
  <c r="O21" i="11"/>
  <c r="Y10" i="11"/>
  <c r="AI24" i="11"/>
  <c r="Q63" i="5"/>
  <c r="T25" i="11"/>
  <c r="AR13" i="12"/>
  <c r="Q66" i="5"/>
  <c r="AR19" i="12"/>
  <c r="AI14" i="11"/>
  <c r="AR14" i="12"/>
  <c r="AR22" i="12"/>
  <c r="AR10" i="12"/>
  <c r="AI12" i="11"/>
  <c r="O14" i="11"/>
  <c r="Y11" i="11"/>
  <c r="O15" i="11"/>
  <c r="Y12" i="11"/>
  <c r="O35" i="11"/>
  <c r="AD36" i="11"/>
  <c r="AI22" i="11"/>
  <c r="AI10" i="11"/>
  <c r="O25" i="11"/>
  <c r="T9" i="11"/>
  <c r="Y25" i="11"/>
  <c r="AI13" i="11"/>
  <c r="Y10" i="5"/>
  <c r="Z10" i="5" s="1"/>
  <c r="AA10" i="5" s="1"/>
  <c r="AD31" i="11"/>
  <c r="T32" i="11"/>
  <c r="O28" i="11"/>
  <c r="Y33" i="11"/>
  <c r="T34" i="11"/>
  <c r="T29" i="11"/>
  <c r="AD13" i="11"/>
  <c r="AD9" i="11"/>
  <c r="O24" i="11"/>
  <c r="O36" i="11"/>
  <c r="AD32" i="11"/>
  <c r="Y31" i="11"/>
  <c r="AD29" i="11"/>
  <c r="T33" i="11"/>
  <c r="V38" i="11"/>
  <c r="S38" i="11"/>
  <c r="AD26" i="11"/>
  <c r="T26" i="11"/>
  <c r="AA38" i="11"/>
  <c r="AB38" i="11"/>
  <c r="O12" i="11"/>
  <c r="T12" i="11"/>
  <c r="N38" i="11"/>
  <c r="AI25" i="11"/>
  <c r="O33" i="11"/>
  <c r="Y29" i="11"/>
  <c r="AD14" i="11"/>
  <c r="T15" i="11"/>
  <c r="L38" i="11"/>
  <c r="AD24" i="11"/>
  <c r="AI26" i="11"/>
  <c r="O32" i="11"/>
  <c r="AF38" i="11"/>
  <c r="Y26" i="11"/>
  <c r="Y13" i="11"/>
  <c r="Y14" i="11"/>
  <c r="Y34" i="11"/>
  <c r="AD34" i="11"/>
  <c r="AH38" i="11"/>
  <c r="T35" i="11"/>
  <c r="AI9" i="11"/>
  <c r="T30" i="11"/>
  <c r="O10" i="11"/>
  <c r="AI21" i="11"/>
  <c r="AD33" i="11"/>
  <c r="Q38" i="11"/>
  <c r="Y28" i="11"/>
  <c r="O11" i="11"/>
  <c r="AD11" i="11"/>
  <c r="O26" i="11"/>
  <c r="O27" i="11"/>
  <c r="AD21" i="11"/>
  <c r="O9" i="11"/>
  <c r="W7" i="5"/>
  <c r="X38" i="11"/>
  <c r="X11" i="5"/>
  <c r="W38" i="11"/>
  <c r="M38" i="11"/>
  <c r="AG38" i="11"/>
  <c r="Z8" i="5"/>
  <c r="M166" i="5"/>
  <c r="AC38" i="11"/>
  <c r="R38" i="11"/>
  <c r="C24" i="11" l="1"/>
  <c r="L111" i="5"/>
  <c r="Q78" i="5"/>
  <c r="Q80" i="5"/>
  <c r="Q79" i="5"/>
  <c r="Q77" i="5"/>
  <c r="AF39" i="11"/>
  <c r="AF40" i="11" s="1"/>
  <c r="X13" i="12"/>
  <c r="V22" i="12"/>
  <c r="V14" i="12"/>
  <c r="V11" i="12"/>
  <c r="E4" i="12"/>
  <c r="W4" i="12" s="1"/>
  <c r="X17" i="12"/>
  <c r="W5" i="12"/>
  <c r="U14" i="12"/>
  <c r="X18" i="12"/>
  <c r="T14" i="12"/>
  <c r="X7" i="12"/>
  <c r="X6" i="12"/>
  <c r="V39" i="11"/>
  <c r="V40" i="11" s="1"/>
  <c r="V4" i="12"/>
  <c r="AG39" i="11"/>
  <c r="AG40" i="11" s="1"/>
  <c r="W14" i="12"/>
  <c r="AR11" i="12"/>
  <c r="AR9" i="12"/>
  <c r="AR16" i="12"/>
  <c r="T11" i="12"/>
  <c r="S11" i="12"/>
  <c r="W11" i="12"/>
  <c r="S5" i="12"/>
  <c r="X5" i="12" s="1"/>
  <c r="H8" i="11"/>
  <c r="Q88" i="5"/>
  <c r="AK42" i="11" s="1"/>
  <c r="R39" i="11"/>
  <c r="R40" i="11" s="1"/>
  <c r="X10" i="12"/>
  <c r="AR23" i="12"/>
  <c r="Q39" i="11"/>
  <c r="Q40" i="11" s="1"/>
  <c r="AR4" i="12"/>
  <c r="W23" i="12"/>
  <c r="V23" i="12"/>
  <c r="T23" i="12"/>
  <c r="S23" i="12"/>
  <c r="U23" i="12"/>
  <c r="X8" i="12"/>
  <c r="AA39" i="11"/>
  <c r="AA40" i="11" s="1"/>
  <c r="X15" i="12"/>
  <c r="X12" i="12"/>
  <c r="X21" i="12"/>
  <c r="D11" i="11"/>
  <c r="Q102" i="5"/>
  <c r="X43" i="12"/>
  <c r="P131" i="5"/>
  <c r="G16" i="11" s="1"/>
  <c r="Q126" i="5"/>
  <c r="Q99" i="5"/>
  <c r="H40" i="12"/>
  <c r="I40" i="12" s="1"/>
  <c r="J40" i="12" s="1"/>
  <c r="K40" i="12" s="1"/>
  <c r="G41" i="12"/>
  <c r="H41" i="12" s="1"/>
  <c r="I41" i="12" s="1"/>
  <c r="J41" i="12" s="1"/>
  <c r="K41" i="12" s="1"/>
  <c r="D16" i="12"/>
  <c r="E16" i="12"/>
  <c r="AB41" i="12"/>
  <c r="AB43" i="12" s="1"/>
  <c r="W20" i="11" s="1"/>
  <c r="W39" i="11" s="1"/>
  <c r="W40" i="11" s="1"/>
  <c r="N53" i="5"/>
  <c r="Q127" i="5"/>
  <c r="M131" i="5"/>
  <c r="Z41" i="12"/>
  <c r="AE41" i="12" s="1"/>
  <c r="Q50" i="5"/>
  <c r="Q100" i="5"/>
  <c r="O102" i="5"/>
  <c r="F11" i="11" s="1"/>
  <c r="O53" i="5"/>
  <c r="AC40" i="12"/>
  <c r="AC43" i="12" s="1"/>
  <c r="AB20" i="11" s="1"/>
  <c r="AB39" i="11" s="1"/>
  <c r="AB40" i="11" s="1"/>
  <c r="Q173" i="5"/>
  <c r="O176" i="5"/>
  <c r="D15" i="11"/>
  <c r="H15" i="11" s="1"/>
  <c r="Q124" i="5"/>
  <c r="O7" i="5"/>
  <c r="D24" i="9"/>
  <c r="O6" i="5"/>
  <c r="E9" i="12"/>
  <c r="D9" i="12"/>
  <c r="Q49" i="5"/>
  <c r="Z40" i="12"/>
  <c r="L53" i="5"/>
  <c r="B32" i="9"/>
  <c r="B33" i="9"/>
  <c r="AI38" i="11"/>
  <c r="AI46" i="11" s="1"/>
  <c r="AD38" i="11"/>
  <c r="AD46" i="11" s="1"/>
  <c r="Y38" i="11"/>
  <c r="Y46" i="11" s="1"/>
  <c r="T38" i="11"/>
  <c r="T46" i="11" s="1"/>
  <c r="O38" i="11"/>
  <c r="L40" i="11"/>
  <c r="Y11" i="5"/>
  <c r="N167" i="5"/>
  <c r="N166" i="5"/>
  <c r="X7" i="5"/>
  <c r="M169" i="5"/>
  <c r="AA8" i="5"/>
  <c r="C13" i="11"/>
  <c r="U4" i="12" l="1"/>
  <c r="T4" i="12"/>
  <c r="S4" i="12"/>
  <c r="Q53" i="5"/>
  <c r="AE46" i="12" s="1"/>
  <c r="X4" i="12"/>
  <c r="X11" i="12"/>
  <c r="X14" i="12"/>
  <c r="V9" i="12"/>
  <c r="T9" i="12"/>
  <c r="S9" i="12"/>
  <c r="U9" i="12"/>
  <c r="W9" i="12"/>
  <c r="F7" i="11"/>
  <c r="E24" i="9"/>
  <c r="P7" i="5"/>
  <c r="P6" i="5"/>
  <c r="D25" i="9"/>
  <c r="C30" i="9"/>
  <c r="C26" i="9"/>
  <c r="M57" i="5" s="1"/>
  <c r="C31" i="9"/>
  <c r="C27" i="9"/>
  <c r="C29" i="9"/>
  <c r="C32" i="9"/>
  <c r="V16" i="12"/>
  <c r="U16" i="12"/>
  <c r="T16" i="12"/>
  <c r="W16" i="12"/>
  <c r="S16" i="12"/>
  <c r="H11" i="11"/>
  <c r="F25" i="11"/>
  <c r="H25" i="11" s="1"/>
  <c r="Q176" i="5"/>
  <c r="Q131" i="5"/>
  <c r="D16" i="11"/>
  <c r="H16" i="11" s="1"/>
  <c r="C28" i="9"/>
  <c r="Z43" i="12"/>
  <c r="AE40" i="12"/>
  <c r="AE43" i="12" s="1"/>
  <c r="AE45" i="12" s="1"/>
  <c r="C33" i="9"/>
  <c r="M85" i="5" s="1"/>
  <c r="AN43" i="12" s="1"/>
  <c r="S20" i="11" s="1"/>
  <c r="K85" i="5"/>
  <c r="L83" i="5"/>
  <c r="AG33" i="12"/>
  <c r="AM33" i="12"/>
  <c r="AM34" i="12"/>
  <c r="AG40" i="12"/>
  <c r="AG28" i="12"/>
  <c r="AM28" i="12" s="1"/>
  <c r="AM40" i="12"/>
  <c r="AG34" i="12"/>
  <c r="AM41" i="12"/>
  <c r="AG29" i="12"/>
  <c r="AM29" i="12" s="1"/>
  <c r="L85" i="5"/>
  <c r="AG43" i="12"/>
  <c r="L82" i="5"/>
  <c r="K82" i="5"/>
  <c r="AG41" i="12"/>
  <c r="K83" i="5"/>
  <c r="AH40" i="12"/>
  <c r="AH34" i="12"/>
  <c r="AK38" i="11"/>
  <c r="AK46" i="11" s="1"/>
  <c r="N169" i="5"/>
  <c r="E24" i="11" s="1"/>
  <c r="O46" i="11"/>
  <c r="Y7" i="5"/>
  <c r="M111" i="5"/>
  <c r="D24" i="11"/>
  <c r="Z11" i="5"/>
  <c r="O167" i="5"/>
  <c r="O166" i="5"/>
  <c r="O169" i="5" l="1"/>
  <c r="AN34" i="12"/>
  <c r="AH41" i="12"/>
  <c r="AN41" i="12"/>
  <c r="AH28" i="12"/>
  <c r="AN28" i="12" s="1"/>
  <c r="M83" i="5"/>
  <c r="AH43" i="12"/>
  <c r="M82" i="5"/>
  <c r="M86" i="5" s="1"/>
  <c r="M90" i="5" s="1"/>
  <c r="AH29" i="12"/>
  <c r="AN29" i="12" s="1"/>
  <c r="X16" i="12"/>
  <c r="AN40" i="12"/>
  <c r="C4" i="11"/>
  <c r="F24" i="9"/>
  <c r="F25" i="9" s="1"/>
  <c r="F29" i="9" s="1"/>
  <c r="X9" i="12"/>
  <c r="M20" i="11"/>
  <c r="M39" i="11" s="1"/>
  <c r="M40" i="11" s="1"/>
  <c r="N111" i="5"/>
  <c r="E13" i="11" s="1"/>
  <c r="E25" i="9"/>
  <c r="E26" i="9" s="1"/>
  <c r="O57" i="5" s="1"/>
  <c r="D30" i="9"/>
  <c r="D28" i="9"/>
  <c r="E30" i="9"/>
  <c r="E27" i="9"/>
  <c r="D31" i="9"/>
  <c r="E32" i="9"/>
  <c r="E28" i="9"/>
  <c r="F28" i="9"/>
  <c r="F32" i="9"/>
  <c r="D26" i="9"/>
  <c r="N57" i="5" s="1"/>
  <c r="D27" i="9"/>
  <c r="D32" i="9"/>
  <c r="E29" i="9"/>
  <c r="D29" i="9"/>
  <c r="D33" i="9"/>
  <c r="E33" i="9"/>
  <c r="AH33" i="12"/>
  <c r="AN33" i="12"/>
  <c r="G7" i="11"/>
  <c r="M89" i="5"/>
  <c r="T43" i="11" s="1"/>
  <c r="D9" i="11"/>
  <c r="AN31" i="12"/>
  <c r="S19" i="11" s="1"/>
  <c r="T19" i="11" s="1"/>
  <c r="AM31" i="12"/>
  <c r="N19" i="11" s="1"/>
  <c r="L89" i="5"/>
  <c r="O43" i="11" s="1"/>
  <c r="C9" i="11"/>
  <c r="L86" i="5"/>
  <c r="L90" i="5" s="1"/>
  <c r="AM43" i="12"/>
  <c r="N20" i="11" s="1"/>
  <c r="T20" i="11"/>
  <c r="D13" i="11"/>
  <c r="F24" i="11"/>
  <c r="O111" i="5"/>
  <c r="F13" i="11" s="1"/>
  <c r="O85" i="5"/>
  <c r="AP33" i="12"/>
  <c r="Z7" i="5"/>
  <c r="AP40" i="12"/>
  <c r="AA11" i="5"/>
  <c r="P167" i="5"/>
  <c r="Q167" i="5" s="1"/>
  <c r="P166" i="5"/>
  <c r="F31" i="9" l="1"/>
  <c r="F30" i="9"/>
  <c r="F27" i="9"/>
  <c r="O20" i="11"/>
  <c r="F33" i="9"/>
  <c r="AP41" i="12"/>
  <c r="AJ41" i="12"/>
  <c r="O83" i="5"/>
  <c r="AJ43" i="12"/>
  <c r="AJ28" i="12"/>
  <c r="AP28" i="12" s="1"/>
  <c r="AJ33" i="12"/>
  <c r="AJ29" i="12"/>
  <c r="AP29" i="12" s="1"/>
  <c r="AJ40" i="12"/>
  <c r="O82" i="5"/>
  <c r="F9" i="11" s="1"/>
  <c r="AP34" i="12"/>
  <c r="AJ34" i="12"/>
  <c r="F26" i="9"/>
  <c r="P57" i="5" s="1"/>
  <c r="Q57" i="5" s="1"/>
  <c r="AO34" i="12"/>
  <c r="AO40" i="12"/>
  <c r="AI40" i="12"/>
  <c r="N82" i="5"/>
  <c r="AI33" i="12"/>
  <c r="AI41" i="12"/>
  <c r="AO41" i="12"/>
  <c r="AI28" i="12"/>
  <c r="AO28" i="12" s="1"/>
  <c r="AI29" i="12"/>
  <c r="AO29" i="12" s="1"/>
  <c r="AI34" i="12"/>
  <c r="AO33" i="12"/>
  <c r="AI43" i="12"/>
  <c r="N85" i="5"/>
  <c r="AO43" i="12" s="1"/>
  <c r="X20" i="11" s="1"/>
  <c r="Y20" i="11" s="1"/>
  <c r="N83" i="5"/>
  <c r="E31" i="9"/>
  <c r="S39" i="11"/>
  <c r="S40" i="11" s="1"/>
  <c r="T39" i="11"/>
  <c r="T40" i="11" s="1"/>
  <c r="L184" i="5"/>
  <c r="O44" i="11"/>
  <c r="O19" i="11"/>
  <c r="N39" i="11"/>
  <c r="N40" i="11" s="1"/>
  <c r="P85" i="5"/>
  <c r="AQ40" i="12"/>
  <c r="AQ33" i="12"/>
  <c r="AA7" i="5"/>
  <c r="M184" i="5"/>
  <c r="T44" i="11"/>
  <c r="AP43" i="12"/>
  <c r="AC20" i="11" s="1"/>
  <c r="P169" i="5"/>
  <c r="Q166" i="5"/>
  <c r="AP31" i="12" l="1"/>
  <c r="AC19" i="11" s="1"/>
  <c r="AD19" i="11" s="1"/>
  <c r="O89" i="5"/>
  <c r="AD43" i="11" s="1"/>
  <c r="O86" i="5"/>
  <c r="O90" i="5" s="1"/>
  <c r="AR33" i="12"/>
  <c r="AR40" i="12"/>
  <c r="O39" i="11"/>
  <c r="O47" i="11" s="1"/>
  <c r="T47" i="11"/>
  <c r="E9" i="11"/>
  <c r="N89" i="5"/>
  <c r="Y43" i="11" s="1"/>
  <c r="N86" i="5"/>
  <c r="N90" i="5" s="1"/>
  <c r="AQ41" i="12"/>
  <c r="AR41" i="12" s="1"/>
  <c r="AK40" i="12"/>
  <c r="AK41" i="12"/>
  <c r="P82" i="5"/>
  <c r="Q82" i="5" s="1"/>
  <c r="AQ34" i="12"/>
  <c r="AR34" i="12" s="1"/>
  <c r="AK29" i="12"/>
  <c r="AQ29" i="12" s="1"/>
  <c r="AR29" i="12" s="1"/>
  <c r="AK33" i="12"/>
  <c r="AK28" i="12"/>
  <c r="AQ28" i="12" s="1"/>
  <c r="P83" i="5"/>
  <c r="Q83" i="5" s="1"/>
  <c r="AK43" i="12"/>
  <c r="AK34" i="12"/>
  <c r="AR28" i="12"/>
  <c r="AO31" i="12"/>
  <c r="X19" i="11" s="1"/>
  <c r="L186" i="5"/>
  <c r="C27" i="11"/>
  <c r="O184" i="5"/>
  <c r="AD44" i="11"/>
  <c r="M186" i="5"/>
  <c r="D27" i="11"/>
  <c r="AQ43" i="12"/>
  <c r="AH20" i="11" s="1"/>
  <c r="AD20" i="11"/>
  <c r="T48" i="11"/>
  <c r="G24" i="11"/>
  <c r="H24" i="11" s="1"/>
  <c r="P111" i="5"/>
  <c r="G13" i="11" s="1"/>
  <c r="H13" i="11" s="1"/>
  <c r="Q169" i="5"/>
  <c r="Q111" i="5" s="1"/>
  <c r="Q85" i="5"/>
  <c r="AH19" i="11" l="1"/>
  <c r="AI19" i="11" s="1"/>
  <c r="AC39" i="11"/>
  <c r="AC40" i="11" s="1"/>
  <c r="AD39" i="11"/>
  <c r="AD47" i="11" s="1"/>
  <c r="G9" i="11"/>
  <c r="H9" i="11" s="1"/>
  <c r="AR31" i="12"/>
  <c r="P89" i="5"/>
  <c r="AI43" i="11" s="1"/>
  <c r="P86" i="5"/>
  <c r="P90" i="5" s="1"/>
  <c r="P184" i="5" s="1"/>
  <c r="O40" i="11"/>
  <c r="O48" i="11" s="1"/>
  <c r="Y19" i="11"/>
  <c r="Y39" i="11" s="1"/>
  <c r="X39" i="11"/>
  <c r="X40" i="11" s="1"/>
  <c r="AQ31" i="12"/>
  <c r="N184" i="5"/>
  <c r="Y44" i="11"/>
  <c r="C28" i="11"/>
  <c r="L192" i="5"/>
  <c r="Q89" i="5"/>
  <c r="AK43" i="11" s="1"/>
  <c r="AR43" i="12"/>
  <c r="AR45" i="12" s="1"/>
  <c r="AI20" i="11"/>
  <c r="D28" i="11"/>
  <c r="M192" i="5"/>
  <c r="M194" i="5" s="1"/>
  <c r="D30" i="11" s="1"/>
  <c r="O186" i="5"/>
  <c r="F27" i="11"/>
  <c r="AD40" i="11" l="1"/>
  <c r="AD48" i="11" s="1"/>
  <c r="Q86" i="5"/>
  <c r="AR46" i="12" s="1"/>
  <c r="AI44" i="11"/>
  <c r="Q90" i="5"/>
  <c r="AK44" i="11" s="1"/>
  <c r="AI39" i="11"/>
  <c r="AI47" i="11" s="1"/>
  <c r="AH39" i="11"/>
  <c r="AH40" i="11" s="1"/>
  <c r="C29" i="11"/>
  <c r="L194" i="5"/>
  <c r="N186" i="5"/>
  <c r="E27" i="11"/>
  <c r="Y47" i="11"/>
  <c r="Y40" i="11"/>
  <c r="Y48" i="11" s="1"/>
  <c r="F28" i="11"/>
  <c r="O192" i="5"/>
  <c r="G27" i="11"/>
  <c r="P186" i="5"/>
  <c r="Q184" i="5"/>
  <c r="D29" i="11"/>
  <c r="AK39" i="11" l="1"/>
  <c r="AK47" i="11" s="1"/>
  <c r="AI40" i="11"/>
  <c r="H27" i="11"/>
  <c r="F29" i="11"/>
  <c r="O194" i="5"/>
  <c r="F30" i="11" s="1"/>
  <c r="C30" i="11"/>
  <c r="N192" i="5"/>
  <c r="E28" i="11"/>
  <c r="P192" i="5"/>
  <c r="P194" i="5" s="1"/>
  <c r="G30" i="11" s="1"/>
  <c r="G28" i="11"/>
  <c r="AI48" i="11"/>
  <c r="AK40" i="11"/>
  <c r="AK48" i="11" s="1"/>
  <c r="Q186" i="5"/>
  <c r="H28" i="11" l="1"/>
  <c r="E29" i="11"/>
  <c r="N194" i="5"/>
  <c r="G29" i="11"/>
  <c r="Q192" i="5"/>
  <c r="H29" i="11" l="1"/>
  <c r="E30" i="11"/>
  <c r="H30" i="11" s="1"/>
  <c r="Q194" i="5"/>
  <c r="V20" i="5" l="1"/>
  <c r="V19"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Glen Bennett</author>
    <author>lkemler</author>
    <author>Audrey Desjarlais</author>
  </authors>
  <commentList>
    <comment ref="A1" authorId="0" shapeId="0" xr:uid="{E5772546-30E3-4A01-A141-E2029C9B2BD1}">
      <text>
        <r>
          <rPr>
            <sz val="9"/>
            <color indexed="81"/>
            <rFont val="Tahoma"/>
            <family val="2"/>
          </rPr>
          <t xml:space="preserve">Enter a whole number, 1, 2, 3, 4, or 5, in cell A1, for the number of project years (even if one of the budget periods is more or less than a twelve month period).  </t>
        </r>
      </text>
    </comment>
    <comment ref="D3" authorId="0" shapeId="0" xr:uid="{1E138B42-0406-4D5B-8E80-1BFD94B40ACF}">
      <text>
        <r>
          <rPr>
            <sz val="9"/>
            <color indexed="81"/>
            <rFont val="Tahoma"/>
            <family val="2"/>
          </rPr>
          <t xml:space="preserve">Enter the EPCS record number here.
</t>
        </r>
      </text>
    </comment>
    <comment ref="L6" authorId="0" shapeId="0" xr:uid="{B4A72F0C-9B2D-4624-B2BB-30874E74D9CD}">
      <text>
        <r>
          <rPr>
            <b/>
            <sz val="9"/>
            <color indexed="81"/>
            <rFont val="Tahoma"/>
            <family val="2"/>
          </rPr>
          <t>Enter the Start Date of the project (The same Start Date should also be entered in the EPCS record).</t>
        </r>
        <r>
          <rPr>
            <sz val="9"/>
            <color indexed="81"/>
            <rFont val="Tahoma"/>
            <family val="2"/>
          </rPr>
          <t xml:space="preserve">
</t>
        </r>
      </text>
    </comment>
    <comment ref="D12" authorId="0" shapeId="0" xr:uid="{4367BC08-D55E-44C8-A74A-541A51734A57}">
      <text>
        <r>
          <rPr>
            <b/>
            <sz val="9"/>
            <color indexed="81"/>
            <rFont val="Tahoma"/>
            <family val="2"/>
          </rPr>
          <t>Select Eclass type from drop down list below.</t>
        </r>
        <r>
          <rPr>
            <sz val="9"/>
            <color indexed="81"/>
            <rFont val="Tahoma"/>
            <family val="2"/>
          </rPr>
          <t xml:space="preserve">
</t>
        </r>
      </text>
    </comment>
    <comment ref="E12" authorId="1" shapeId="0" xr:uid="{C2C2C0FA-1FF1-453A-B555-C122FB5AA323}">
      <text>
        <r>
          <rPr>
            <sz val="8"/>
            <color indexed="81"/>
            <rFont val="Tahoma"/>
            <family val="2"/>
          </rPr>
          <t>Input base salary here for AY 9-mo. and 12-mo. Appointments. Enter % in next column to automatically calculate salary expense.</t>
        </r>
      </text>
    </comment>
    <comment ref="F12" authorId="1" shapeId="0" xr:uid="{6FE27549-CA86-402B-B1EE-4A9429795828}">
      <text>
        <r>
          <rPr>
            <sz val="8"/>
            <color indexed="81"/>
            <rFont val="Tahoma"/>
            <family val="2"/>
          </rPr>
          <t>Salary expense will  automatically calculate with % entered (as a decimal) here.</t>
        </r>
      </text>
    </comment>
    <comment ref="G12" authorId="1" shapeId="0" xr:uid="{886F1696-4504-4439-8BA9-FD1EF5C360D6}">
      <text>
        <r>
          <rPr>
            <sz val="8"/>
            <color indexed="81"/>
            <rFont val="Tahoma"/>
            <family val="2"/>
          </rPr>
          <t>Salary expense will  automatically calculate with % entered (as a decimal) here.</t>
        </r>
      </text>
    </comment>
    <comment ref="H12" authorId="1" shapeId="0" xr:uid="{05D2A32B-1AA5-4FBF-869A-1C521F53A632}">
      <text>
        <r>
          <rPr>
            <sz val="8"/>
            <color indexed="81"/>
            <rFont val="Tahoma"/>
            <family val="2"/>
          </rPr>
          <t>Salary expense will  automatically calculate with % entered (as a decimal) here.</t>
        </r>
      </text>
    </comment>
    <comment ref="I12" authorId="1" shapeId="0" xr:uid="{C669AE14-13C0-4022-8F75-6370BAC7A83C}">
      <text>
        <r>
          <rPr>
            <sz val="8"/>
            <color indexed="81"/>
            <rFont val="Tahoma"/>
            <family val="2"/>
          </rPr>
          <t>Salary expense will  automatically calculate with % entered (as a decimal) here.</t>
        </r>
      </text>
    </comment>
    <comment ref="J12" authorId="1" shapeId="0" xr:uid="{7A97E0C8-7E80-415D-B398-29DDD6AB7D3F}">
      <text>
        <r>
          <rPr>
            <sz val="8"/>
            <color indexed="81"/>
            <rFont val="Tahoma"/>
            <family val="2"/>
          </rPr>
          <t>Salary expense will  automatically calculate with % entered (as a decimal) here.</t>
        </r>
      </text>
    </comment>
    <comment ref="AF12" authorId="0" shapeId="0" xr:uid="{DBBC4EDE-E60B-4D9A-9970-D71940E251CD}">
      <text>
        <r>
          <rPr>
            <sz val="9"/>
            <color indexed="81"/>
            <rFont val="Tahoma"/>
            <family val="2"/>
          </rPr>
          <t xml:space="preserve">Enter for out-of-state graduate trainees on training grants or fellowships (formula in tuition area of budget must also be changed)
</t>
        </r>
      </text>
    </comment>
    <comment ref="V13" authorId="0" shapeId="0" xr:uid="{0A55DB01-AE4E-4992-84A2-DABA6DA2D18C}">
      <text>
        <r>
          <rPr>
            <sz val="9"/>
            <color indexed="81"/>
            <rFont val="Tahoma"/>
            <family val="2"/>
          </rPr>
          <t xml:space="preserve">Enter Tuition Rate for UO College if applicable to application (formula in tuition area of budget must also be changed)
</t>
        </r>
      </text>
    </comment>
    <comment ref="AF13" authorId="0" shapeId="0" xr:uid="{C3A9AD12-7C5F-4631-8CA4-232C0FC1407A}">
      <text>
        <r>
          <rPr>
            <sz val="9"/>
            <color indexed="81"/>
            <rFont val="Tahoma"/>
            <family val="2"/>
          </rPr>
          <t xml:space="preserve">Enter Tuition Rate for UO College if applicable to application (formula in tuition area of budget must also be changed)
</t>
        </r>
      </text>
    </comment>
    <comment ref="V14" authorId="0" shapeId="0" xr:uid="{3D07076D-E5B5-4399-AF38-972EBF9D7AAB}">
      <text>
        <r>
          <rPr>
            <sz val="9"/>
            <color indexed="81"/>
            <rFont val="Tahoma"/>
            <family val="2"/>
          </rPr>
          <t>If no COLA for all budget years, change this number to 1.0</t>
        </r>
        <r>
          <rPr>
            <sz val="9"/>
            <color indexed="81"/>
            <rFont val="Tahoma"/>
            <family val="2"/>
          </rPr>
          <t xml:space="preserve">
</t>
        </r>
      </text>
    </comment>
    <comment ref="V18" authorId="2" shapeId="0" xr:uid="{FF84CD52-6118-4B0D-A77C-2FD48E6D37CF}">
      <text>
        <r>
          <rPr>
            <sz val="9"/>
            <color indexed="81"/>
            <rFont val="Tahoma"/>
            <family val="2"/>
          </rPr>
          <t xml:space="preserve">Enter target award
</t>
        </r>
      </text>
    </comment>
    <comment ref="V19" authorId="2" shapeId="0" xr:uid="{0C10EF7A-877D-4E57-BA28-D0E3180DA6AB}">
      <text>
        <r>
          <rPr>
            <sz val="9"/>
            <color indexed="81"/>
            <rFont val="Tahoma"/>
            <family val="2"/>
          </rPr>
          <t>This figure autopopulates with total budget amount</t>
        </r>
      </text>
    </comment>
    <comment ref="D29" authorId="0" shapeId="0" xr:uid="{205C1D32-D25A-455C-90A0-4B1DBB3639C5}">
      <text>
        <r>
          <rPr>
            <sz val="9"/>
            <color indexed="81"/>
            <rFont val="Tahoma"/>
            <family val="2"/>
          </rPr>
          <t xml:space="preserve">Enter only 9 for 9-mo. Appointment.
</t>
        </r>
      </text>
    </comment>
    <comment ref="E29" authorId="1" shapeId="0" xr:uid="{74D8AB65-0648-4BF5-BCC2-5D643BF87548}">
      <text>
        <r>
          <rPr>
            <sz val="8"/>
            <color indexed="81"/>
            <rFont val="Tahoma"/>
            <family val="2"/>
          </rPr>
          <t>Use only for Faculty with 9-month appointments working on project in SU. Input SU base salary here (1/3 of AY salary). Enter % in next column to automatically calculate SU salary expense.</t>
        </r>
      </text>
    </comment>
    <comment ref="F29" authorId="1" shapeId="0" xr:uid="{13D23323-74ED-4B26-8D10-48153A22D041}">
      <text>
        <r>
          <rPr>
            <sz val="8"/>
            <color indexed="81"/>
            <rFont val="Tahoma"/>
            <family val="2"/>
          </rPr>
          <t>Salary expense will  automatically calculate with % entered (as a decimal) here.</t>
        </r>
      </text>
    </comment>
    <comment ref="G29" authorId="1" shapeId="0" xr:uid="{BB2F8185-33E6-49E5-9B66-5F609DEBD68F}">
      <text>
        <r>
          <rPr>
            <sz val="8"/>
            <color indexed="81"/>
            <rFont val="Tahoma"/>
            <family val="2"/>
          </rPr>
          <t>Salary expense will  automatically calculate with % entered (as a decimal) here.</t>
        </r>
      </text>
    </comment>
    <comment ref="H29" authorId="1" shapeId="0" xr:uid="{768FB397-E57B-44BF-A22F-33E5779274AB}">
      <text>
        <r>
          <rPr>
            <sz val="8"/>
            <color indexed="81"/>
            <rFont val="Tahoma"/>
            <family val="2"/>
          </rPr>
          <t>Salary expense will  automatically calculate with % entered (as a decimal) here.</t>
        </r>
      </text>
    </comment>
    <comment ref="I29" authorId="1" shapeId="0" xr:uid="{BDDC6135-9154-4002-B5D4-B61849E5CB25}">
      <text>
        <r>
          <rPr>
            <sz val="8"/>
            <color indexed="81"/>
            <rFont val="Tahoma"/>
            <family val="2"/>
          </rPr>
          <t>Salary expense will  automatically calculate with % entered (as a decimal) here.</t>
        </r>
      </text>
    </comment>
    <comment ref="J29" authorId="1" shapeId="0" xr:uid="{5702CFE3-393B-4DD3-A33C-D0C4BDF6FB1C}">
      <text>
        <r>
          <rPr>
            <sz val="8"/>
            <color indexed="81"/>
            <rFont val="Tahoma"/>
            <family val="2"/>
          </rPr>
          <t>Salary expense will  automatically calculate with % entered (as a decimal) here.</t>
        </r>
      </text>
    </comment>
    <comment ref="E41" authorId="1" shapeId="0" xr:uid="{DF91B135-4930-4EE4-B54D-FF016D6A2859}">
      <text>
        <r>
          <rPr>
            <sz val="8"/>
            <color indexed="81"/>
            <rFont val="Tahoma"/>
            <family val="2"/>
          </rPr>
          <t>In the cell below, enter the GTF’s 9 or 12 month base salary at the 1.0 FTE rate.</t>
        </r>
      </text>
    </comment>
    <comment ref="F41" authorId="1" shapeId="0" xr:uid="{750F6898-9B4B-4052-8E5B-1842EA64FFA2}">
      <text>
        <r>
          <rPr>
            <sz val="8"/>
            <color indexed="81"/>
            <rFont val="Tahoma"/>
            <family val="2"/>
          </rPr>
          <t xml:space="preserve">Salary expense will  automatically calculate with % entered below. </t>
        </r>
      </text>
    </comment>
    <comment ref="G41" authorId="1" shapeId="0" xr:uid="{A1F0011B-4D14-4BCF-B0A8-F79D446BD6F1}">
      <text>
        <r>
          <rPr>
            <sz val="8"/>
            <color indexed="81"/>
            <rFont val="Tahoma"/>
            <family val="2"/>
          </rPr>
          <t xml:space="preserve">Salary expense will  automatically calculate with % entered below. </t>
        </r>
      </text>
    </comment>
    <comment ref="H41" authorId="1" shapeId="0" xr:uid="{6714A720-6B68-45E6-A6DB-054D90D5D961}">
      <text>
        <r>
          <rPr>
            <sz val="8"/>
            <color indexed="81"/>
            <rFont val="Tahoma"/>
            <family val="2"/>
          </rPr>
          <t xml:space="preserve">Salary expense will  automatically calculate with % entered below. </t>
        </r>
      </text>
    </comment>
    <comment ref="I41" authorId="1" shapeId="0" xr:uid="{DAD2260F-5C46-4B42-AC5B-E725B7225D57}">
      <text>
        <r>
          <rPr>
            <sz val="8"/>
            <color indexed="81"/>
            <rFont val="Tahoma"/>
            <family val="2"/>
          </rPr>
          <t xml:space="preserve">Salary expense will  automatically calculate with % entered below. </t>
        </r>
      </text>
    </comment>
    <comment ref="J41" authorId="1" shapeId="0" xr:uid="{7771C9E9-CA62-441B-AAA8-FBC8EC49691B}">
      <text>
        <r>
          <rPr>
            <sz val="8"/>
            <color indexed="81"/>
            <rFont val="Tahoma"/>
            <family val="2"/>
          </rPr>
          <t xml:space="preserve">Salary expense will  automatically calculate with % entered below. </t>
        </r>
      </text>
    </comment>
    <comment ref="E42" authorId="1" shapeId="0" xr:uid="{08604939-4FE7-45CB-902B-50444AAF2A8E}">
      <text>
        <r>
          <rPr>
            <sz val="8"/>
            <color indexed="81"/>
            <rFont val="Tahoma"/>
            <family val="2"/>
          </rPr>
          <t xml:space="preserve">Input ANNUAL salary for 1 GTF at 1 FTE. </t>
        </r>
      </text>
    </comment>
    <comment ref="F42" authorId="1" shapeId="0" xr:uid="{95B87314-F4D1-4DC0-B81C-C8F9684636E7}">
      <text>
        <r>
          <rPr>
            <sz val="8"/>
            <color indexed="81"/>
            <rFont val="Tahoma"/>
            <family val="2"/>
          </rPr>
          <t>No more than .49</t>
        </r>
      </text>
    </comment>
    <comment ref="G42" authorId="1" shapeId="0" xr:uid="{1F721A0C-4125-4ADA-A904-1333A4F36FB5}">
      <text>
        <r>
          <rPr>
            <sz val="8"/>
            <color indexed="81"/>
            <rFont val="Tahoma"/>
            <family val="2"/>
          </rPr>
          <t>No more than .49</t>
        </r>
      </text>
    </comment>
    <comment ref="H42" authorId="1" shapeId="0" xr:uid="{34EAE819-5162-4365-82F2-010AFB305038}">
      <text>
        <r>
          <rPr>
            <sz val="8"/>
            <color indexed="81"/>
            <rFont val="Tahoma"/>
            <family val="2"/>
          </rPr>
          <t>No more than .49</t>
        </r>
      </text>
    </comment>
    <comment ref="I42" authorId="1" shapeId="0" xr:uid="{AB0E3E41-E6E9-40B3-90E5-90FC15B4F476}">
      <text>
        <r>
          <rPr>
            <sz val="8"/>
            <color indexed="81"/>
            <rFont val="Tahoma"/>
            <family val="2"/>
          </rPr>
          <t>No more than .49</t>
        </r>
      </text>
    </comment>
    <comment ref="J42" authorId="1" shapeId="0" xr:uid="{59388DB2-90BD-438A-A6C1-713C7482C93E}">
      <text>
        <r>
          <rPr>
            <sz val="8"/>
            <color indexed="81"/>
            <rFont val="Tahoma"/>
            <family val="2"/>
          </rPr>
          <t>No more than .49</t>
        </r>
      </text>
    </comment>
    <comment ref="F43" authorId="1" shapeId="0" xr:uid="{29D33876-C637-4932-9EB9-3C7597DF63BC}">
      <text>
        <r>
          <rPr>
            <sz val="8"/>
            <color indexed="81"/>
            <rFont val="Tahoma"/>
            <family val="2"/>
          </rPr>
          <t>Only input FTE if summer effort is part of budget.  Otherwise, leave blank.</t>
        </r>
      </text>
    </comment>
    <comment ref="G43" authorId="1" shapeId="0" xr:uid="{ED6BC0FC-B730-448F-8D5F-62BCF5E9D9C8}">
      <text>
        <r>
          <rPr>
            <sz val="8"/>
            <color indexed="81"/>
            <rFont val="Tahoma"/>
            <family val="2"/>
          </rPr>
          <t>Only input FTE if summer effort is part of budget.  Otherwise, leave blank.</t>
        </r>
      </text>
    </comment>
    <comment ref="H43" authorId="1" shapeId="0" xr:uid="{5315089B-C006-48E8-8D27-B6CBDA17E70A}">
      <text>
        <r>
          <rPr>
            <sz val="8"/>
            <color indexed="81"/>
            <rFont val="Tahoma"/>
            <family val="2"/>
          </rPr>
          <t>Only input FTE if summer effort is part of budget.  Otherwise, leave blank.</t>
        </r>
      </text>
    </comment>
    <comment ref="I43" authorId="1" shapeId="0" xr:uid="{1EA713AC-1602-470A-A7AA-113F870F6A00}">
      <text>
        <r>
          <rPr>
            <sz val="8"/>
            <color indexed="81"/>
            <rFont val="Tahoma"/>
            <family val="2"/>
          </rPr>
          <t>Only input FTE if summer effort is part of budget.  Otherwise, leave blank.</t>
        </r>
      </text>
    </comment>
    <comment ref="J43" authorId="1" shapeId="0" xr:uid="{7784EB72-BD93-46E1-874D-3C57CFC91307}">
      <text>
        <r>
          <rPr>
            <sz val="8"/>
            <color indexed="81"/>
            <rFont val="Tahoma"/>
            <family val="2"/>
          </rPr>
          <t>Only input FTE if summer effort is part of budget.  Otherwise, leave blank.</t>
        </r>
      </text>
    </comment>
    <comment ref="F44" authorId="0" shapeId="0" xr:uid="{0B06EDFA-0781-476C-B7F7-7CB4ECCDCAAB}">
      <text>
        <r>
          <rPr>
            <sz val="9"/>
            <color indexed="81"/>
            <rFont val="Tahoma"/>
            <family val="2"/>
          </rPr>
          <t xml:space="preserve">Insert the number of AY terms.
</t>
        </r>
      </text>
    </comment>
    <comment ref="G44" authorId="0" shapeId="0" xr:uid="{489D0C89-85E7-4FFC-8018-7ED6B1F7E006}">
      <text>
        <r>
          <rPr>
            <sz val="9"/>
            <color indexed="81"/>
            <rFont val="Tahoma"/>
            <family val="2"/>
          </rPr>
          <t xml:space="preserve">Insert the number of AY terms.
</t>
        </r>
      </text>
    </comment>
    <comment ref="H44" authorId="0" shapeId="0" xr:uid="{DCDCAA2A-84B1-425B-9E32-422A5237C6A0}">
      <text>
        <r>
          <rPr>
            <sz val="9"/>
            <color indexed="81"/>
            <rFont val="Tahoma"/>
            <family val="2"/>
          </rPr>
          <t xml:space="preserve">Insert the number of AY terms.
</t>
        </r>
      </text>
    </comment>
    <comment ref="I44" authorId="0" shapeId="0" xr:uid="{4D1640B3-9C93-45F0-9DD2-E4683ED3489C}">
      <text>
        <r>
          <rPr>
            <sz val="9"/>
            <color indexed="81"/>
            <rFont val="Tahoma"/>
            <family val="2"/>
          </rPr>
          <t xml:space="preserve">Insert the number of AY terms.
</t>
        </r>
      </text>
    </comment>
    <comment ref="J44" authorId="0" shapeId="0" xr:uid="{3F842B34-AE40-4207-BB20-D26BDF70C940}">
      <text>
        <r>
          <rPr>
            <sz val="9"/>
            <color indexed="81"/>
            <rFont val="Tahoma"/>
            <family val="2"/>
          </rPr>
          <t xml:space="preserve">Insert the number of AY terms.
</t>
        </r>
      </text>
    </comment>
    <comment ref="F45" authorId="0" shapeId="0" xr:uid="{E3D970AC-1A1E-46DC-A77C-635D652ADAE7}">
      <text>
        <r>
          <rPr>
            <sz val="9"/>
            <color indexed="81"/>
            <rFont val="Tahoma"/>
            <family val="2"/>
          </rPr>
          <t xml:space="preserve">Insert number of Summer Terms
</t>
        </r>
      </text>
    </comment>
    <comment ref="G45" authorId="0" shapeId="0" xr:uid="{5050E099-4615-4DBE-A6C9-46C8E6ADF048}">
      <text>
        <r>
          <rPr>
            <sz val="9"/>
            <color indexed="81"/>
            <rFont val="Tahoma"/>
            <family val="2"/>
          </rPr>
          <t xml:space="preserve">Insert number of Summer Terms
</t>
        </r>
      </text>
    </comment>
    <comment ref="H45" authorId="0" shapeId="0" xr:uid="{B4687B45-84F5-4231-8E67-B7B59FACE0FD}">
      <text>
        <r>
          <rPr>
            <sz val="9"/>
            <color indexed="81"/>
            <rFont val="Tahoma"/>
            <family val="2"/>
          </rPr>
          <t xml:space="preserve">Insert number of Summer Terms
</t>
        </r>
      </text>
    </comment>
    <comment ref="I45" authorId="0" shapeId="0" xr:uid="{D913603C-E158-4C36-B96E-7424514EF564}">
      <text>
        <r>
          <rPr>
            <sz val="9"/>
            <color indexed="81"/>
            <rFont val="Tahoma"/>
            <family val="2"/>
          </rPr>
          <t xml:space="preserve">Insert number of Summer Terms
</t>
        </r>
      </text>
    </comment>
    <comment ref="J45" authorId="0" shapeId="0" xr:uid="{C8577EB0-C2F3-48D7-BC98-9672AC98DAD3}">
      <text>
        <r>
          <rPr>
            <sz val="9"/>
            <color indexed="81"/>
            <rFont val="Tahoma"/>
            <family val="2"/>
          </rPr>
          <t xml:space="preserve">Insert number of Summer Terms
</t>
        </r>
      </text>
    </comment>
    <comment ref="E48" authorId="1" shapeId="0" xr:uid="{AF46E0F8-7F6F-4897-8ABA-10F8A155CFFD}">
      <text>
        <r>
          <rPr>
            <sz val="8"/>
            <color indexed="81"/>
            <rFont val="Tahoma"/>
            <family val="2"/>
          </rPr>
          <t>In the cell below, enter the GTF’s 9 or 12 month base salary at the 1.0 FTE rate.</t>
        </r>
      </text>
    </comment>
    <comment ref="F48" authorId="1" shapeId="0" xr:uid="{657121B4-0D8E-46E6-89F3-B8B1C11FCBDA}">
      <text>
        <r>
          <rPr>
            <sz val="8"/>
            <color indexed="81"/>
            <rFont val="Tahoma"/>
            <family val="2"/>
          </rPr>
          <t xml:space="preserve">Salary expense will  automatically calculate with % entered below. </t>
        </r>
      </text>
    </comment>
    <comment ref="G48" authorId="1" shapeId="0" xr:uid="{170B3F66-2EEF-42D9-9514-EE19C1339ED8}">
      <text>
        <r>
          <rPr>
            <sz val="8"/>
            <color indexed="81"/>
            <rFont val="Tahoma"/>
            <family val="2"/>
          </rPr>
          <t xml:space="preserve">Salary expense will  automatically calculate with % entered below. </t>
        </r>
      </text>
    </comment>
    <comment ref="H48" authorId="1" shapeId="0" xr:uid="{2CBB2FD9-0A4E-474B-8E85-783260444AB2}">
      <text>
        <r>
          <rPr>
            <sz val="8"/>
            <color indexed="81"/>
            <rFont val="Tahoma"/>
            <family val="2"/>
          </rPr>
          <t xml:space="preserve">Salary expense will  automatically calculate with % entered below. </t>
        </r>
      </text>
    </comment>
    <comment ref="I48" authorId="1" shapeId="0" xr:uid="{5E1B44BD-11A5-4398-8AE7-36206FCC3D75}">
      <text>
        <r>
          <rPr>
            <sz val="8"/>
            <color indexed="81"/>
            <rFont val="Tahoma"/>
            <family val="2"/>
          </rPr>
          <t xml:space="preserve">Salary expense will  automatically calculate with % entered below. </t>
        </r>
      </text>
    </comment>
    <comment ref="J48" authorId="1" shapeId="0" xr:uid="{5D0F6AD3-F2DC-4E3B-B550-965A2F9CDE72}">
      <text>
        <r>
          <rPr>
            <sz val="8"/>
            <color indexed="81"/>
            <rFont val="Tahoma"/>
            <family val="2"/>
          </rPr>
          <t xml:space="preserve">Salary expense will  automatically calculate with % entered below. </t>
        </r>
      </text>
    </comment>
    <comment ref="E49" authorId="1" shapeId="0" xr:uid="{FFE13F6F-DF76-4237-9EBA-4B2090A62166}">
      <text>
        <r>
          <rPr>
            <sz val="8"/>
            <color indexed="81"/>
            <rFont val="Tahoma"/>
            <family val="2"/>
          </rPr>
          <t xml:space="preserve">Input ANNUAL salary for 1 GTF at 1 FTE. </t>
        </r>
      </text>
    </comment>
    <comment ref="F49" authorId="1" shapeId="0" xr:uid="{A15C38CC-0369-4932-B278-D7C6C31E8CE5}">
      <text>
        <r>
          <rPr>
            <sz val="8"/>
            <color indexed="81"/>
            <rFont val="Tahoma"/>
            <family val="2"/>
          </rPr>
          <t>No more than .49</t>
        </r>
      </text>
    </comment>
    <comment ref="G49" authorId="1" shapeId="0" xr:uid="{4C357C63-F41A-4FEB-98BD-8DDBD05B4574}">
      <text>
        <r>
          <rPr>
            <sz val="8"/>
            <color indexed="81"/>
            <rFont val="Tahoma"/>
            <family val="2"/>
          </rPr>
          <t>No more than .49</t>
        </r>
      </text>
    </comment>
    <comment ref="H49" authorId="1" shapeId="0" xr:uid="{55C28996-6F7F-4066-BB21-0890911B28DC}">
      <text>
        <r>
          <rPr>
            <sz val="8"/>
            <color indexed="81"/>
            <rFont val="Tahoma"/>
            <family val="2"/>
          </rPr>
          <t>No more than .49</t>
        </r>
      </text>
    </comment>
    <comment ref="I49" authorId="1" shapeId="0" xr:uid="{21960CE8-2DBD-4722-98B4-DDE58E6E6921}">
      <text>
        <r>
          <rPr>
            <sz val="8"/>
            <color indexed="81"/>
            <rFont val="Tahoma"/>
            <family val="2"/>
          </rPr>
          <t>No more than .49</t>
        </r>
      </text>
    </comment>
    <comment ref="J49" authorId="1" shapeId="0" xr:uid="{1447FDD9-AB27-4B5E-AD32-4F67A52D9F18}">
      <text>
        <r>
          <rPr>
            <sz val="8"/>
            <color indexed="81"/>
            <rFont val="Tahoma"/>
            <family val="2"/>
          </rPr>
          <t>No more than .49</t>
        </r>
      </text>
    </comment>
    <comment ref="F50" authorId="1" shapeId="0" xr:uid="{45386CE7-0F6D-4390-87EA-8A7C82E6BD8D}">
      <text>
        <r>
          <rPr>
            <sz val="8"/>
            <color indexed="81"/>
            <rFont val="Tahoma"/>
            <family val="2"/>
          </rPr>
          <t>Only input FTE if summer effort is part of budget.  Otherwise, leave blank.</t>
        </r>
      </text>
    </comment>
    <comment ref="G50" authorId="1" shapeId="0" xr:uid="{772054A5-D257-4DAA-944D-D428D7A5395A}">
      <text>
        <r>
          <rPr>
            <sz val="8"/>
            <color indexed="81"/>
            <rFont val="Tahoma"/>
            <family val="2"/>
          </rPr>
          <t>Only input FTE if summer effort is part of budget.  Otherwise, leave blank.</t>
        </r>
      </text>
    </comment>
    <comment ref="H50" authorId="1" shapeId="0" xr:uid="{74C9C977-35A5-47D6-B494-6B0A9FFBDE98}">
      <text>
        <r>
          <rPr>
            <sz val="8"/>
            <color indexed="81"/>
            <rFont val="Tahoma"/>
            <family val="2"/>
          </rPr>
          <t>Only input FTE if summer effort is part of budget.  Otherwise, leave blank.</t>
        </r>
      </text>
    </comment>
    <comment ref="I50" authorId="1" shapeId="0" xr:uid="{751FB51C-4CED-4A99-BDCC-63ADFB11C83F}">
      <text>
        <r>
          <rPr>
            <sz val="8"/>
            <color indexed="81"/>
            <rFont val="Tahoma"/>
            <family val="2"/>
          </rPr>
          <t>Only input FTE if summer effort is part of budget.  Otherwise, leave blank.</t>
        </r>
      </text>
    </comment>
    <comment ref="J50" authorId="1" shapeId="0" xr:uid="{8C113894-8B2D-4985-865F-923CC6759499}">
      <text>
        <r>
          <rPr>
            <sz val="8"/>
            <color indexed="81"/>
            <rFont val="Tahoma"/>
            <family val="2"/>
          </rPr>
          <t>Only input FTE if summer effort is part of budget.  Otherwise, leave blank.</t>
        </r>
      </text>
    </comment>
    <comment ref="F51" authorId="0" shapeId="0" xr:uid="{4AACF713-C9BE-499E-8795-C260A3AE0303}">
      <text>
        <r>
          <rPr>
            <sz val="9"/>
            <color indexed="81"/>
            <rFont val="Tahoma"/>
            <family val="2"/>
          </rPr>
          <t xml:space="preserve">Insert the number of AY terms.
</t>
        </r>
      </text>
    </comment>
    <comment ref="G51" authorId="0" shapeId="0" xr:uid="{9ABFB5E5-5539-4850-AF3A-BF574AC766AD}">
      <text>
        <r>
          <rPr>
            <sz val="9"/>
            <color indexed="81"/>
            <rFont val="Tahoma"/>
            <family val="2"/>
          </rPr>
          <t xml:space="preserve">Insert the number of AY terms.
</t>
        </r>
      </text>
    </comment>
    <comment ref="H51" authorId="0" shapeId="0" xr:uid="{F62BE902-3622-431B-9AC4-95D2B874A3D5}">
      <text>
        <r>
          <rPr>
            <sz val="9"/>
            <color indexed="81"/>
            <rFont val="Tahoma"/>
            <family val="2"/>
          </rPr>
          <t xml:space="preserve">Insert the number of AY terms.
</t>
        </r>
      </text>
    </comment>
    <comment ref="I51" authorId="0" shapeId="0" xr:uid="{488A0C24-2A70-4921-BD34-B696CA99674E}">
      <text>
        <r>
          <rPr>
            <sz val="9"/>
            <color indexed="81"/>
            <rFont val="Tahoma"/>
            <family val="2"/>
          </rPr>
          <t xml:space="preserve">Insert the number of AY terms.
</t>
        </r>
      </text>
    </comment>
    <comment ref="J51" authorId="0" shapeId="0" xr:uid="{EB5D4AE9-82FC-4AB9-8554-A09345F00B54}">
      <text>
        <r>
          <rPr>
            <sz val="9"/>
            <color indexed="81"/>
            <rFont val="Tahoma"/>
            <family val="2"/>
          </rPr>
          <t xml:space="preserve">Insert the number of AY terms.
</t>
        </r>
      </text>
    </comment>
    <comment ref="F52" authorId="0" shapeId="0" xr:uid="{DF6C5A2B-F3BE-4520-AD65-F85827C50E0C}">
      <text>
        <r>
          <rPr>
            <sz val="9"/>
            <color indexed="81"/>
            <rFont val="Tahoma"/>
            <family val="2"/>
          </rPr>
          <t xml:space="preserve">Insert number of Summer Terms
</t>
        </r>
      </text>
    </comment>
    <comment ref="G52" authorId="0" shapeId="0" xr:uid="{98379D5A-FB8A-4E88-BA39-C7DF10F22C89}">
      <text>
        <r>
          <rPr>
            <sz val="9"/>
            <color indexed="81"/>
            <rFont val="Tahoma"/>
            <family val="2"/>
          </rPr>
          <t xml:space="preserve">Insert number of Summer Terms
</t>
        </r>
      </text>
    </comment>
    <comment ref="H52" authorId="0" shapeId="0" xr:uid="{44C558D6-ED99-4552-ACEC-A0ED98AEEE27}">
      <text>
        <r>
          <rPr>
            <sz val="9"/>
            <color indexed="81"/>
            <rFont val="Tahoma"/>
            <family val="2"/>
          </rPr>
          <t xml:space="preserve">Insert number of Summer Terms
</t>
        </r>
      </text>
    </comment>
    <comment ref="I52" authorId="0" shapeId="0" xr:uid="{E045038D-DA3F-43E5-9832-FBA7D92E2E80}">
      <text>
        <r>
          <rPr>
            <sz val="9"/>
            <color indexed="81"/>
            <rFont val="Tahoma"/>
            <family val="2"/>
          </rPr>
          <t xml:space="preserve">Insert number of Summer Terms
</t>
        </r>
      </text>
    </comment>
    <comment ref="J52" authorId="0" shapeId="0" xr:uid="{3B551851-0749-42F6-83A4-F09C57DD0623}">
      <text>
        <r>
          <rPr>
            <sz val="9"/>
            <color indexed="81"/>
            <rFont val="Tahoma"/>
            <family val="2"/>
          </rPr>
          <t xml:space="preserve">Insert number of Summer Terms
</t>
        </r>
      </text>
    </comment>
    <comment ref="D74" authorId="0" shapeId="0" xr:uid="{1AFDA1AA-3835-42C9-A11C-FCE71F526C7A}">
      <text>
        <r>
          <rPr>
            <sz val="9"/>
            <color indexed="81"/>
            <rFont val="Tahoma"/>
            <family val="2"/>
          </rPr>
          <t xml:space="preserve">Enter 9 for 9-mo. 
appointment or 12 for 12-mo appointment
</t>
        </r>
      </text>
    </comment>
    <comment ref="D82" authorId="0" shapeId="0" xr:uid="{EA63963B-9801-478A-8F8A-6039A6254B97}">
      <text>
        <r>
          <rPr>
            <b/>
            <sz val="9"/>
            <color indexed="81"/>
            <rFont val="Tahoma"/>
            <family val="2"/>
          </rPr>
          <t>Automatic calculation based on the employee Eclass OPE Rates tab of this Workbook.</t>
        </r>
      </text>
    </comment>
    <comment ref="D83" authorId="0" shapeId="0" xr:uid="{FBB32128-3AE2-47ED-8E01-69A14A65FA34}">
      <text>
        <r>
          <rPr>
            <b/>
            <sz val="9"/>
            <color indexed="81"/>
            <rFont val="Tahoma"/>
            <family val="2"/>
          </rPr>
          <t>Automatic calculation based on the employee Eclass OPE Rates tab of this Workbook.</t>
        </r>
      </text>
    </comment>
    <comment ref="D85" authorId="0" shapeId="0" xr:uid="{41B69D90-4611-4342-99C4-97746E26285B}">
      <text>
        <r>
          <rPr>
            <b/>
            <sz val="9"/>
            <color indexed="81"/>
            <rFont val="Tahoma"/>
            <family val="2"/>
          </rPr>
          <t>Automatic calculation based on the employee Eclass OPE Rates tab of this Workbook.</t>
        </r>
      </text>
    </comment>
    <comment ref="B190" authorId="0" shapeId="0" xr:uid="{E6BB70EC-4E89-44FF-8F4F-9FEAFB37896B}">
      <text>
        <r>
          <rPr>
            <b/>
            <sz val="9"/>
            <color indexed="81"/>
            <rFont val="Tahoma"/>
            <family val="2"/>
          </rPr>
          <t>Leave blank if Federally Negotiated F&amp;A rate is used.</t>
        </r>
        <r>
          <rPr>
            <sz val="9"/>
            <color indexed="81"/>
            <rFont val="Tahoma"/>
            <family val="2"/>
          </rPr>
          <t xml:space="preserve">
</t>
        </r>
      </text>
    </comment>
    <comment ref="L190" authorId="0" shapeId="0" xr:uid="{6CB4434C-DD79-4E72-84B9-CBD4841EFE6A}">
      <text>
        <r>
          <rPr>
            <b/>
            <sz val="9"/>
            <color indexed="81"/>
            <rFont val="Tahoma"/>
            <family val="2"/>
          </rPr>
          <t>Leave blank if Federally Negotiated F&amp;A rate is used.</t>
        </r>
      </text>
    </comment>
    <comment ref="M190" authorId="0" shapeId="0" xr:uid="{6CA120C8-5508-4391-BA84-541E4911D622}">
      <text>
        <r>
          <rPr>
            <b/>
            <sz val="9"/>
            <color indexed="81"/>
            <rFont val="Tahoma"/>
            <family val="2"/>
          </rPr>
          <t>Leave blank if Federally Negotiated F&amp;A rate is used.</t>
        </r>
        <r>
          <rPr>
            <sz val="9"/>
            <color indexed="81"/>
            <rFont val="Tahoma"/>
            <family val="2"/>
          </rPr>
          <t xml:space="preserve">
</t>
        </r>
      </text>
    </comment>
    <comment ref="N190" authorId="0" shapeId="0" xr:uid="{3245A32C-1884-43F4-848A-2ECE52C50D6D}">
      <text>
        <r>
          <rPr>
            <b/>
            <sz val="9"/>
            <color indexed="81"/>
            <rFont val="Tahoma"/>
            <family val="2"/>
          </rPr>
          <t>Leave blank if Federally Negotiated F&amp;A rate is used.</t>
        </r>
        <r>
          <rPr>
            <sz val="9"/>
            <color indexed="81"/>
            <rFont val="Tahoma"/>
            <family val="2"/>
          </rPr>
          <t xml:space="preserve">
</t>
        </r>
      </text>
    </comment>
    <comment ref="O190" authorId="0" shapeId="0" xr:uid="{0AEA0B19-C871-47CE-BC3C-3B338264E006}">
      <text>
        <r>
          <rPr>
            <b/>
            <sz val="9"/>
            <color indexed="81"/>
            <rFont val="Tahoma"/>
            <family val="2"/>
          </rPr>
          <t>Leave blank if Federally Negotiated F&amp;A rate is used.</t>
        </r>
        <r>
          <rPr>
            <sz val="9"/>
            <color indexed="81"/>
            <rFont val="Tahoma"/>
            <family val="2"/>
          </rPr>
          <t xml:space="preserve">
</t>
        </r>
      </text>
    </comment>
    <comment ref="P190" authorId="0" shapeId="0" xr:uid="{AE29BDA5-AC1B-492F-89B3-BCA64001F64E}">
      <text>
        <r>
          <rPr>
            <b/>
            <sz val="9"/>
            <color indexed="81"/>
            <rFont val="Tahoma"/>
            <family val="2"/>
          </rPr>
          <t>Leave blank if Federally Negotiated F&amp;A rate is used.</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Audrey Desjarlais</author>
  </authors>
  <commentList>
    <comment ref="K19" authorId="0" shapeId="0" xr:uid="{012F6EB1-305B-47F1-8C12-32EA6D2098E6}">
      <text>
        <r>
          <rPr>
            <sz val="9"/>
            <color indexed="81"/>
            <rFont val="Tahoma"/>
            <family val="2"/>
          </rPr>
          <t xml:space="preserve">Do not alter the name "Undergraduate Students"
</t>
        </r>
      </text>
    </comment>
    <comment ref="K20" authorId="0" shapeId="0" xr:uid="{48F7FD83-894C-4899-ADED-B5E237E023EC}">
      <text>
        <r>
          <rPr>
            <sz val="9"/>
            <color indexed="81"/>
            <rFont val="Tahoma"/>
            <family val="2"/>
          </rPr>
          <t>Do not change 'Graduate Students" name.</t>
        </r>
        <r>
          <rPr>
            <b/>
            <sz val="9"/>
            <color indexed="81"/>
            <rFont val="Tahoma"/>
            <family val="2"/>
          </rPr>
          <t xml:space="preserve">
</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Jarrod Routh</author>
  </authors>
  <commentList>
    <comment ref="A10" authorId="0" shapeId="0" xr:uid="{082D8A58-56BA-4B87-913A-E1F8CF61536F}">
      <text>
        <r>
          <rPr>
            <b/>
            <sz val="8"/>
            <color indexed="81"/>
            <rFont val="Tahoma"/>
            <family val="2"/>
          </rPr>
          <t>Enter SU Effort as a decimal or fraction (not as percent) greater than 0 but equal to, or less than 1.0</t>
        </r>
      </text>
    </comment>
    <comment ref="D10" authorId="0" shapeId="0" xr:uid="{43D3625E-1127-4E7C-8520-DC8CC741F2DF}">
      <text>
        <r>
          <rPr>
            <b/>
            <sz val="8"/>
            <color indexed="81"/>
            <rFont val="Tahoma"/>
            <family val="2"/>
          </rPr>
          <t>Enter AY Effort as a decimal or fraction (not as percent) greater than 0 but equal to, or less than 1.0</t>
        </r>
      </text>
    </comment>
    <comment ref="G10" authorId="0" shapeId="0" xr:uid="{63F27306-8F07-4D23-B32B-74C3FEB54B40}">
      <text>
        <r>
          <rPr>
            <b/>
            <sz val="8"/>
            <color indexed="81"/>
            <rFont val="Tahoma"/>
            <family val="2"/>
          </rPr>
          <t>Enter Cal. Effort as a decimal or fraction (not as percent) greater than 0 but equal to, or less than 1.0</t>
        </r>
      </text>
    </comment>
    <comment ref="A21" authorId="0" shapeId="0" xr:uid="{C05FE86B-3284-437F-AD61-ECBF8D408041}">
      <text>
        <r>
          <rPr>
            <b/>
            <sz val="8"/>
            <color indexed="81"/>
            <rFont val="Tahoma"/>
            <family val="2"/>
          </rPr>
          <t>Enter the Summer Person Month (PM) as a number between 0 and 3</t>
        </r>
      </text>
    </comment>
    <comment ref="D21" authorId="0" shapeId="0" xr:uid="{AF31A32C-C065-4A7C-982B-C1DE101D0813}">
      <text>
        <r>
          <rPr>
            <b/>
            <sz val="8"/>
            <color indexed="81"/>
            <rFont val="Tahoma"/>
            <family val="2"/>
          </rPr>
          <t>Enter the AY Person Month (PM) as a number between 0 and 9</t>
        </r>
      </text>
    </comment>
    <comment ref="G21" authorId="0" shapeId="0" xr:uid="{898D8B70-4DD4-4C8D-988D-AAFECFD36FD8}">
      <text>
        <r>
          <rPr>
            <b/>
            <sz val="8"/>
            <color indexed="81"/>
            <rFont val="Tahoma"/>
            <family val="2"/>
          </rPr>
          <t>Enter the Cal. Person Month (PM) as a number between 0 and 12</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Glen Bennett</author>
  </authors>
  <commentList>
    <comment ref="C3" authorId="0" shapeId="0" xr:uid="{6D154D10-28AB-4FD7-87FD-5979D7DEBA7B}">
      <text>
        <r>
          <rPr>
            <b/>
            <sz val="9"/>
            <color indexed="81"/>
            <rFont val="Tahoma"/>
            <family val="2"/>
          </rPr>
          <t>Enter the current NIH Salary CAP</t>
        </r>
        <r>
          <rPr>
            <sz val="9"/>
            <color indexed="81"/>
            <rFont val="Tahoma"/>
            <family val="2"/>
          </rPr>
          <t xml:space="preserve">
</t>
        </r>
      </text>
    </comment>
    <comment ref="C7" authorId="0" shapeId="0" xr:uid="{8F0428AB-3DC3-49B7-9CA9-B4126FAFD603}">
      <text>
        <r>
          <rPr>
            <b/>
            <sz val="9"/>
            <color indexed="81"/>
            <rFont val="Tahoma"/>
            <family val="2"/>
          </rPr>
          <t>Enter 9 or 12 for type of Appointment</t>
        </r>
        <r>
          <rPr>
            <sz val="9"/>
            <color indexed="81"/>
            <rFont val="Tahoma"/>
            <family val="2"/>
          </rPr>
          <t xml:space="preserve">
</t>
        </r>
      </text>
    </comment>
    <comment ref="C8" authorId="0" shapeId="0" xr:uid="{0DD9030B-1000-43BC-8E03-B84D7B008848}">
      <text>
        <r>
          <rPr>
            <b/>
            <sz val="9"/>
            <color indexed="81"/>
            <rFont val="Tahoma"/>
            <family val="2"/>
          </rPr>
          <t>Enter the UO 9 or 12 month base from PWIVERI</t>
        </r>
        <r>
          <rPr>
            <sz val="9"/>
            <color indexed="81"/>
            <rFont val="Tahoma"/>
            <family val="2"/>
          </rPr>
          <t xml:space="preserve">
</t>
        </r>
      </text>
    </comment>
    <comment ref="D15" authorId="0" shapeId="0" xr:uid="{2CF4374D-B018-4EA6-B247-217F4038F50B}">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E15" authorId="0" shapeId="0" xr:uid="{2EBD5546-F49E-4EE5-AA25-8846BEF1005F}">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F15" authorId="0" shapeId="0" xr:uid="{0CCA783C-184E-4019-9C21-5BB418F9CF2A}">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G15" authorId="0" shapeId="0" xr:uid="{0035F6C8-8D56-4783-8DFC-4F10AD24473D}">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H15" authorId="0" shapeId="0" xr:uid="{551A7B31-08B5-4DFA-9DC9-6EB45B05A36B}">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List>
</comments>
</file>

<file path=xl/sharedStrings.xml><?xml version="1.0" encoding="utf-8"?>
<sst xmlns="http://schemas.openxmlformats.org/spreadsheetml/2006/main" count="872" uniqueCount="404">
  <si>
    <t>University of Oregon</t>
  </si>
  <si>
    <t>YEAR 1</t>
  </si>
  <si>
    <t>YEAR 2</t>
  </si>
  <si>
    <t>YEAR 3</t>
  </si>
  <si>
    <t>TOTAL</t>
  </si>
  <si>
    <t>Total Fringe Benefits</t>
  </si>
  <si>
    <t>TRAVEL</t>
  </si>
  <si>
    <t xml:space="preserve">PI DEPT:  </t>
  </si>
  <si>
    <t>Stipend</t>
  </si>
  <si>
    <t>Travel</t>
  </si>
  <si>
    <t>Subsistence</t>
  </si>
  <si>
    <t>Other</t>
  </si>
  <si>
    <t>Total Participant Support</t>
  </si>
  <si>
    <t>TOTAL PERSONNEL</t>
  </si>
  <si>
    <t>Tuition</t>
  </si>
  <si>
    <t>Total Equipment</t>
  </si>
  <si>
    <t>Total Travel</t>
  </si>
  <si>
    <t>Total Supplies</t>
  </si>
  <si>
    <t>&gt;25K</t>
  </si>
  <si>
    <t xml:space="preserve">Total Subcontracts </t>
  </si>
  <si>
    <t>&gt;$25K</t>
  </si>
  <si>
    <t xml:space="preserve">Subcontract </t>
  </si>
  <si>
    <t>Totals</t>
  </si>
  <si>
    <t>FRINGE BENEFITS (OPE)</t>
  </si>
  <si>
    <t>In-state</t>
  </si>
  <si>
    <t xml:space="preserve"> </t>
  </si>
  <si>
    <t xml:space="preserve">EPCS# </t>
  </si>
  <si>
    <t>Benefits for AY 9-mo. and 12-mo. appts.</t>
  </si>
  <si>
    <t>Summer benefits for 9-mo. faculty</t>
  </si>
  <si>
    <t>YEAR 4</t>
  </si>
  <si>
    <t>YEAR 5</t>
  </si>
  <si>
    <t>UO PERSONNEL</t>
  </si>
  <si>
    <t>SALARIES/WAGES</t>
  </si>
  <si>
    <t>Summer salaries for 9-mo. appts.</t>
  </si>
  <si>
    <t xml:space="preserve">  for AY 9-mo. and 12-mo. appts.</t>
  </si>
  <si>
    <t>Yr 1</t>
  </si>
  <si>
    <t>Yr 2</t>
  </si>
  <si>
    <t>Yr 3</t>
  </si>
  <si>
    <t>Yr 4</t>
  </si>
  <si>
    <t>Yr 5</t>
  </si>
  <si>
    <t>BASE</t>
  </si>
  <si>
    <t>SALARY</t>
  </si>
  <si>
    <t>Regular Students</t>
  </si>
  <si>
    <t>%</t>
  </si>
  <si>
    <t>Total Salaries &amp; Wages</t>
  </si>
  <si>
    <t>Out-of-state</t>
  </si>
  <si>
    <t>Other UO</t>
  </si>
  <si>
    <t>&lt;=25K</t>
  </si>
  <si>
    <t>&lt;=$25K</t>
  </si>
  <si>
    <t>-leave blank-</t>
  </si>
  <si>
    <t>Include COLAs</t>
  </si>
  <si>
    <t>in this budget?</t>
  </si>
  <si>
    <t>Enter Y or N</t>
  </si>
  <si>
    <t>AY BASE</t>
  </si>
  <si>
    <t>Start</t>
  </si>
  <si>
    <t>End</t>
  </si>
  <si>
    <t>Person Month / Effort:  Conversion Tool</t>
  </si>
  <si>
    <r>
      <rPr>
        <b/>
        <sz val="10"/>
        <color indexed="8"/>
        <rFont val="Arial"/>
        <family val="2"/>
      </rPr>
      <t>Insert the Effort</t>
    </r>
    <r>
      <rPr>
        <sz val="10"/>
        <color indexed="8"/>
        <rFont val="Arial"/>
        <family val="2"/>
      </rPr>
      <t xml:space="preserve"> in the green cells below to convert to Person Months (PM)</t>
    </r>
  </si>
  <si>
    <t>Person Months for 3, 9, and 12 month terms will display simultaneously.</t>
  </si>
  <si>
    <t>3 month</t>
  </si>
  <si>
    <t>9 month</t>
  </si>
  <si>
    <t>12 month</t>
  </si>
  <si>
    <t>Summer Term</t>
  </si>
  <si>
    <t>Academic Year</t>
  </si>
  <si>
    <t>Calendar Year</t>
  </si>
  <si>
    <t>3-mo</t>
  </si>
  <si>
    <t>9-mo</t>
  </si>
  <si>
    <t>12-mo</t>
  </si>
  <si>
    <t>Effort</t>
  </si>
  <si>
    <t xml:space="preserve">         PM</t>
  </si>
  <si>
    <t xml:space="preserve">        PM</t>
  </si>
  <si>
    <t>Months per twelve month period</t>
  </si>
  <si>
    <t>Annual FTE (over twelve months)</t>
  </si>
  <si>
    <r>
      <rPr>
        <b/>
        <sz val="10"/>
        <color indexed="8"/>
        <rFont val="Arial"/>
        <family val="2"/>
      </rPr>
      <t>Insert the Person Months (PM)</t>
    </r>
    <r>
      <rPr>
        <sz val="10"/>
        <color indexed="8"/>
        <rFont val="Arial"/>
        <family val="2"/>
      </rPr>
      <t xml:space="preserve"> in the yellow cells below to convert to Effort</t>
    </r>
  </si>
  <si>
    <t>Effort for 3, 9, and 12 month terms will display simultaneously.</t>
  </si>
  <si>
    <t>PM</t>
  </si>
  <si>
    <t>TOTAL DIRECT COSTS (includes Total Subcontracts Costs)</t>
  </si>
  <si>
    <t>Total Academic Terms</t>
  </si>
  <si>
    <t>Total Summer Terms</t>
  </si>
  <si>
    <t>Personnel COLA</t>
  </si>
  <si>
    <t>Non-Personnel COLA</t>
  </si>
  <si>
    <t xml:space="preserve">    Academic Year Graduate Tuition</t>
  </si>
  <si>
    <t xml:space="preserve">    Summer Graduate Tuition</t>
  </si>
  <si>
    <t xml:space="preserve">    Rental Costs of off-site Facilities</t>
  </si>
  <si>
    <t>Out-of-state Tuition</t>
  </si>
  <si>
    <t>In-state Tuition</t>
  </si>
  <si>
    <t>AY</t>
  </si>
  <si>
    <t>Reference Year</t>
  </si>
  <si>
    <t>MODIFIED TOTAL DIRECT COSTS (MTDC)*</t>
  </si>
  <si>
    <t>- Enter Applicable F&amp;A Rate Below-</t>
  </si>
  <si>
    <t>TOTAL COSTS</t>
  </si>
  <si>
    <t>QRC</t>
  </si>
  <si>
    <r>
      <t xml:space="preserve">YEAR R&amp;R DETAILED BUDGET  </t>
    </r>
    <r>
      <rPr>
        <b/>
        <sz val="12"/>
        <color indexed="10"/>
        <rFont val="Times New Roman"/>
        <family val="1"/>
      </rPr>
      <t>(Always change cell A1 to equal the number of project years for this budget)</t>
    </r>
  </si>
  <si>
    <t>To use the NIH Salary CAP Calculator, complete steps 1, 2, 3, and 4 below</t>
  </si>
  <si>
    <t>Step #1</t>
  </si>
  <si>
    <t>Enter the current NIH Salary CAP</t>
  </si>
  <si>
    <t>Auto-calculation:</t>
  </si>
  <si>
    <t>Hourly rate per the current NIH Salary CAP</t>
  </si>
  <si>
    <t>Step #2</t>
  </si>
  <si>
    <t>Enter the type of UO Appointment, 9 or 12 month</t>
  </si>
  <si>
    <t>Step #3</t>
  </si>
  <si>
    <t>Enter the UO 9 or 12 month base from PWIVERI</t>
  </si>
  <si>
    <t>12-month UO personnel's Institutional Base Salary</t>
  </si>
  <si>
    <t>UO personnel's Hourly Rate</t>
  </si>
  <si>
    <t>Direct Cost %</t>
  </si>
  <si>
    <t>Cost Share %</t>
  </si>
  <si>
    <t>Year 1</t>
  </si>
  <si>
    <t>Year 2</t>
  </si>
  <si>
    <t>Year 3</t>
  </si>
  <si>
    <t>Year 4</t>
  </si>
  <si>
    <t>Year 5</t>
  </si>
  <si>
    <t>Step #4</t>
  </si>
  <si>
    <t>Enter Total Committed Effort for each Project Period (Direct plus Cost Share)</t>
  </si>
  <si>
    <t>Labor Distribution for direct-charged salary</t>
  </si>
  <si>
    <t>Labor Distribution for cost-shared salary</t>
  </si>
  <si>
    <t>Direct Charge: Maximum Salary Amount direct-charged to the project</t>
  </si>
  <si>
    <t>Cost Share: Salary Amount Cost-shared to the project</t>
  </si>
  <si>
    <t xml:space="preserve">Participant support costs means direct costs for items such as stipends or subsistence allowances, travel allowances, </t>
  </si>
  <si>
    <t xml:space="preserve">and registration fees paid to or on behalf of participants or trainees (but not employees) in connection with conferences, or </t>
  </si>
  <si>
    <t>training projects.</t>
  </si>
  <si>
    <t>2 CFR §200.68   Modified Total Direct Cost (MTDC).</t>
  </si>
  <si>
    <t xml:space="preserve">MTDC means all direct salaries and wages, applicable fringe benefits, materials and supplies, services, travel, and </t>
  </si>
  <si>
    <t xml:space="preserve">subawards and subcontracts up to the first $25,000 of each subaward or subcontract (regardless of the period of </t>
  </si>
  <si>
    <t xml:space="preserve">performance of the subawards and subcontracts under the award). MTDC excludes equipment, capital expenditures, charges </t>
  </si>
  <si>
    <t>for patient care, rental costs, tuition remission, scholarships and fellowships, participant support costs and the portion of each</t>
  </si>
  <si>
    <t xml:space="preserve">subaward and subcontract in excess of $25,000. Other items may only be excluded when necessary to avoid a serious </t>
  </si>
  <si>
    <t>inequity in the distribution of indirect costs, and with the approval of the cognizant agency for indirect costs.</t>
  </si>
  <si>
    <t>Work Study Students</t>
  </si>
  <si>
    <t xml:space="preserve">  Total F&amp;A Exempt Other</t>
  </si>
  <si>
    <t>Template revised</t>
  </si>
  <si>
    <t xml:space="preserve">Please reference this link for additional guidance:   </t>
  </si>
  <si>
    <t>Payroll COLA</t>
  </si>
  <si>
    <t>Non-Payroll COLA</t>
  </si>
  <si>
    <t>2 CFR §200.456   Participant Support costs:</t>
  </si>
  <si>
    <t>Participant support costs as defined in §200.75 Participant support costs are allowable with the prior approval of the Federal awarding agency.</t>
  </si>
  <si>
    <t>2 CFR §200.75   Participant support costs:</t>
  </si>
  <si>
    <t>Non Personnel COLA</t>
  </si>
  <si>
    <t>Other UO Tuition</t>
  </si>
  <si>
    <t>Increase/Yr</t>
  </si>
  <si>
    <t>Research: on campus</t>
  </si>
  <si>
    <t>Research: off campus</t>
  </si>
  <si>
    <t>Instruction: on campus</t>
  </si>
  <si>
    <t>Instruction: off campus</t>
  </si>
  <si>
    <t>Other Sponsored Activity: on campus</t>
  </si>
  <si>
    <t>Other Sponsored Activity: off campus</t>
  </si>
  <si>
    <t>Select Project Type</t>
  </si>
  <si>
    <t>Awarded</t>
  </si>
  <si>
    <t>Facilities/Administrative (Indirect Cost) Rate:</t>
  </si>
  <si>
    <t>Facilities/Administrative Costs (Indirect Costs) of MTDC</t>
  </si>
  <si>
    <t xml:space="preserve">Agency Limited F&amp;A or other Approved F&amp;A Rate: </t>
  </si>
  <si>
    <t xml:space="preserve">Eclass </t>
  </si>
  <si>
    <t>AY Fees</t>
  </si>
  <si>
    <t>SU Fees</t>
  </si>
  <si>
    <t>SU Ins</t>
  </si>
  <si>
    <t>AY/term</t>
  </si>
  <si>
    <t>SU/Term</t>
  </si>
  <si>
    <t>SU/term</t>
  </si>
  <si>
    <t>Select Employee Class</t>
  </si>
  <si>
    <t xml:space="preserve">Employee class </t>
  </si>
  <si>
    <t>Description</t>
  </si>
  <si>
    <t>9 Month Faculty/Staff (SU)</t>
  </si>
  <si>
    <t>Classified - Service</t>
  </si>
  <si>
    <t>Classified - Clerical/Skilled</t>
  </si>
  <si>
    <t>Classified - Technical</t>
  </si>
  <si>
    <t>Rates</t>
  </si>
  <si>
    <t xml:space="preserve">Faculty/Staff A </t>
  </si>
  <si>
    <t xml:space="preserve">Faculty/Staff B </t>
  </si>
  <si>
    <t xml:space="preserve">Faculty/Staff C </t>
  </si>
  <si>
    <t>Classified Service</t>
  </si>
  <si>
    <t>Classified Skilled/Clerical</t>
  </si>
  <si>
    <t>Classified Technical</t>
  </si>
  <si>
    <t>Employee Class</t>
  </si>
  <si>
    <t>Budget Year</t>
  </si>
  <si>
    <t>Offset from Base Year</t>
  </si>
  <si>
    <t>GE COLA</t>
  </si>
  <si>
    <t>GE Fees</t>
  </si>
  <si>
    <t>GE Ins</t>
  </si>
  <si>
    <t>GE I and GE II (Full Time Tuition)</t>
  </si>
  <si>
    <t>GE III (3 Credit Hours per Term)</t>
  </si>
  <si>
    <t>GE Salaries</t>
  </si>
  <si>
    <t>GE, OPE + insurance/fees</t>
  </si>
  <si>
    <t>Annual increase on GE AY Fees</t>
  </si>
  <si>
    <t>Annual increase on GE SU Fees</t>
  </si>
  <si>
    <t>Annual increase on GE Insurance</t>
  </si>
  <si>
    <t>Annual increase on GE Tuition</t>
  </si>
  <si>
    <t>12 Month Faculty, w/ appt. .5+ FTE &amp; Hrly</t>
  </si>
  <si>
    <t>The Faculty/Staff A Employee Class consists of all salaried staff employees, and faculty members that are on a twelve month schedule.  Most of these employees are all eligible for sick leave and vacation leave.</t>
  </si>
  <si>
    <t>The Classified Service Employee Class consists of hourly employees that are coded as service/maintenance such as groundskeepers, custodians, laborers, and food service workers.</t>
  </si>
  <si>
    <t>The Classified Skilled/Clerical Employee Class consists of hourly employees that are coded as skilled and clerical.</t>
  </si>
  <si>
    <t>The Classified Technical Employee Class consists of hourly employees that are coded as technical and professional.</t>
  </si>
  <si>
    <t>The Students Employee Class consists of graduate employees, fellows, and undergraduate student employees.</t>
  </si>
  <si>
    <t>The Faculty/Staff B Employee Class consists of faculty members that are on a nine month schedule that are sick leave eligible but not eligible for vacation leave, all Post Docs, and employees coded as Executives.</t>
  </si>
  <si>
    <t>Students</t>
  </si>
  <si>
    <t>9 or 12 Month Faculty, w/ appt. &lt;.5 FTE</t>
  </si>
  <si>
    <t>9 Month Faculty (AY) .5+ FTE, Postdocs, Executives</t>
  </si>
  <si>
    <t>Summer</t>
  </si>
  <si>
    <t>Temps</t>
  </si>
  <si>
    <t>The Faculty/Staff C Employee Class consists of all employees on summer term employment excluding students; and also includes faculty and staff on less than .5 FTE.</t>
  </si>
  <si>
    <t xml:space="preserve">The Temp Employee Class consists of University of Oregon officers/teachers/researchers, hourly faculty and hourly staff less than .5FTE, and temporary support staff employees. </t>
  </si>
  <si>
    <t>Fringe Benefits ("Other Payroll Expenses" (OPE)</t>
  </si>
  <si>
    <t>UO Office of Budget and Resources Planning -  Blended OPE</t>
  </si>
  <si>
    <t xml:space="preserve">In December of 2020, the "IF" statement compares the 1st year of the project to year 2026. If less than 2026, the logic pulls the fringe benefit rate from the table for the appropriate </t>
  </si>
  <si>
    <t>This logic is based on (1) The budgeting spreadsheet is updated at least once per year. There will likely be no proposals which utilize this logic extending the project period</t>
  </si>
  <si>
    <t xml:space="preserve">into year 2027 for at least twelve months from December, 2020. For example, for a five-year project period beginning January 1, 2022, the fringe benefit rates applied will be </t>
  </si>
  <si>
    <t xml:space="preserve">the currently estimated fringe benefit rates from year 2026, which are estimated based on the average percent increase in rates for the three previous years. Proposal budgets </t>
  </si>
  <si>
    <t>with beginning project periods of July 1, 2022 will predominantly not occur until November through December of 2021, to January, 2022. Budget and Resource Planning (BRP)</t>
  </si>
  <si>
    <t>of each year. Therefore, the aforementioned logic in this spreadsheet should be updated at least by December 31, 2021 which will update the spreadsheet to include the new</t>
  </si>
  <si>
    <t xml:space="preserve">Estimated Projections on the out years provided by UO Budget and Resource Planning in December of 2021. At this time, the 2026 fringe benefit rates will be posted on BRP's </t>
  </si>
  <si>
    <t>website and the logic of this spreadsheet can be updated to include estimated fringe benefits for 2027 based on the prior three years of fringe benefit rate increases.</t>
  </si>
  <si>
    <t xml:space="preserve">The formula is updated in December of 2020 to included the number "12" in the "Offset from Base Year" formula, "MAX(0,MIN(12,F29-$B$4))" to account for the </t>
  </si>
  <si>
    <t>additional years added to the spreadsheet.</t>
  </si>
  <si>
    <t>first year, 2021 through 2026. If more  than  2026, the logic pulls the fringe benefit rate from the table for year 2026, and no increase in fringe benefit rates  is included.</t>
  </si>
  <si>
    <t xml:space="preserve">will again update the posted fringe benefit rates at least once again in the next twelve months, since BRP submits fringe benefit rate proposals to DHHS annually around December </t>
  </si>
  <si>
    <t>of each year, after each years Fringe Benefit Rate Proposal has been submitted to DHHS. BRP may occasionally update these rates more than once each year based on</t>
  </si>
  <si>
    <t>updated information BRP uses to calculate the Estimated Projections on the out year fringe benefit rates. When BRP updates these rates, and posts the updated rates on the</t>
  </si>
  <si>
    <t xml:space="preserve"> BRP website, the rates must then be updated on this spreadsheet.</t>
  </si>
  <si>
    <t xml:space="preserve">Regardless of whether "Y" or "N" is selected  on the 'R&amp;R Generic Detailed Budget'! Tab in Cell R8, there is no Personnel COLA applied by the formula in Year 1. </t>
  </si>
  <si>
    <t xml:space="preserve">In years 2 through 5, if "N" is selected  on the 'R&amp;R Generic Detailed Budget'! Tab in Cell R8, there is no Personnel COLA applied by the formula in for the Project Year. </t>
  </si>
  <si>
    <t>In years 2 through 5, if "Y" is selected  on the 'R&amp;R Generic Detailed Budget'! Tab in Cell R8, the Personnel COLA applied by the formula in for the Project Year, except on the</t>
  </si>
  <si>
    <t>current spreadsheet, if the project year is beyond 2026, the 2026 fringe benefit rate will be applied. See continued explanation below.</t>
  </si>
  <si>
    <r>
      <rPr>
        <b/>
        <sz val="10"/>
        <color indexed="10"/>
        <rFont val="Times New Roman"/>
        <family val="1"/>
      </rPr>
      <t xml:space="preserve">Note: </t>
    </r>
    <r>
      <rPr>
        <b/>
        <sz val="10"/>
        <rFont val="Times New Roman"/>
        <family val="1"/>
      </rPr>
      <t>BRP may update the current year  (FY) fringe benefit rate, so that it is the same as the current year (FY) fringe benefit rate which appears on UO's F&amp;A rate agreement.</t>
    </r>
  </si>
  <si>
    <r>
      <rPr>
        <b/>
        <sz val="10"/>
        <color indexed="10"/>
        <rFont val="Times New Roman"/>
        <family val="1"/>
      </rPr>
      <t xml:space="preserve">Note: </t>
    </r>
    <r>
      <rPr>
        <b/>
        <sz val="10"/>
        <rFont val="Times New Roman"/>
        <family val="1"/>
      </rPr>
      <t>BRP updates Estimated Projections on the out year fringe benefit rates, which do not yet appear on UO's F&amp;A rate agreement at least once annually, usually in December</t>
    </r>
  </si>
  <si>
    <t>AY Ins</t>
  </si>
  <si>
    <t>https://research.uoregon.edu/apply/apply-external-funding/prepare/nih-salary-cap</t>
  </si>
  <si>
    <t>Y</t>
  </si>
  <si>
    <t>% FTE</t>
  </si>
  <si>
    <t>PI Name:</t>
  </si>
  <si>
    <t>Subrecipient/SubAward</t>
  </si>
  <si>
    <t>[Total costs, Subrecipient Institution 2]</t>
  </si>
  <si>
    <t>[Total costs, Subrecipient Institution 3]</t>
  </si>
  <si>
    <t>Personnel Type</t>
  </si>
  <si>
    <t>Total</t>
  </si>
  <si>
    <t xml:space="preserve">Difference: </t>
  </si>
  <si>
    <t>Senior/Key Personnel</t>
  </si>
  <si>
    <t>Other Personnel</t>
  </si>
  <si>
    <t>Basis MO</t>
  </si>
  <si>
    <t>Select Personnel Type</t>
  </si>
  <si>
    <t>12 MO</t>
  </si>
  <si>
    <t>9 MO</t>
  </si>
  <si>
    <t>3 MO</t>
  </si>
  <si>
    <t xml:space="preserve">Select Basis </t>
  </si>
  <si>
    <t>OTHER DIRECT COSTS</t>
  </si>
  <si>
    <t>F.</t>
  </si>
  <si>
    <t>EPCS Number</t>
  </si>
  <si>
    <t>Prefix</t>
  </si>
  <si>
    <t>SF424 Budget Categories</t>
  </si>
  <si>
    <t>A.</t>
  </si>
  <si>
    <t>B.</t>
  </si>
  <si>
    <t>C.</t>
  </si>
  <si>
    <t xml:space="preserve">Equipment </t>
  </si>
  <si>
    <t>D.</t>
  </si>
  <si>
    <t xml:space="preserve">Travel </t>
  </si>
  <si>
    <t>E.</t>
  </si>
  <si>
    <t>Participant/Trainee Support Costs</t>
  </si>
  <si>
    <t>Other Direct Costs</t>
  </si>
  <si>
    <t>F.1.</t>
  </si>
  <si>
    <t>Materials and Supplies</t>
  </si>
  <si>
    <t>F.2.</t>
  </si>
  <si>
    <t>Publication Costs</t>
  </si>
  <si>
    <t>F.3.</t>
  </si>
  <si>
    <t>Consultant Services</t>
  </si>
  <si>
    <t>F.4.</t>
  </si>
  <si>
    <t>ADP/Computer Services</t>
  </si>
  <si>
    <t>F.5.</t>
  </si>
  <si>
    <t>Subawards/Consortium/Contractual Costs</t>
  </si>
  <si>
    <t>F.6.</t>
  </si>
  <si>
    <t>Equipment or Facility Rental/User Fees</t>
  </si>
  <si>
    <t>F.7.</t>
  </si>
  <si>
    <t>Alterations and Renovations</t>
  </si>
  <si>
    <t>F.8.</t>
  </si>
  <si>
    <t>Graduate Employee Tuition</t>
  </si>
  <si>
    <t>F.9.</t>
  </si>
  <si>
    <t>F.10.</t>
  </si>
  <si>
    <t>G.</t>
  </si>
  <si>
    <t>Total Direct Costs</t>
  </si>
  <si>
    <t>MTDC Base</t>
  </si>
  <si>
    <t>H.</t>
  </si>
  <si>
    <t>Indirect costs</t>
  </si>
  <si>
    <t>I.</t>
  </si>
  <si>
    <t>Total Direct and Indirect Costs</t>
  </si>
  <si>
    <t>GE III  AY effort</t>
  </si>
  <si>
    <t>GE III summer effort</t>
  </si>
  <si>
    <t>GE I or II AY effort</t>
  </si>
  <si>
    <t>GE I or II summer effort</t>
  </si>
  <si>
    <t>Name</t>
  </si>
  <si>
    <t>FTE 
Year 1</t>
  </si>
  <si>
    <t>FTE 
Year 2</t>
  </si>
  <si>
    <t>FTE 
Year 3</t>
  </si>
  <si>
    <t>FTE 
Year 4</t>
  </si>
  <si>
    <t>FTE 
Year 5</t>
  </si>
  <si>
    <t>AY 9-mo. and 12-mo. appts.</t>
  </si>
  <si>
    <t>PARTICIPANT/TRAINEE SUPPORT COSTS</t>
  </si>
  <si>
    <t>Total Publication Costs</t>
  </si>
  <si>
    <t>Total Consultant Services</t>
  </si>
  <si>
    <t>Totat Other Direct Costs</t>
  </si>
  <si>
    <t>Total Equipment or Facility Rental/User Fees</t>
  </si>
  <si>
    <t>F.8</t>
  </si>
  <si>
    <t>Total Alterations and Renovations</t>
  </si>
  <si>
    <t>Total Graduate Tuition</t>
  </si>
  <si>
    <t>GRADUATE TUITION &amp; OFF-SITE FACILITY RENTAL (F&amp;A Exempt)</t>
  </si>
  <si>
    <t xml:space="preserve"> [Other Direct - ADD Description if Applicable]</t>
  </si>
  <si>
    <t>Senior Key Personnel</t>
  </si>
  <si>
    <t>Total ADP/Computer Services</t>
  </si>
  <si>
    <t>OPE Class</t>
  </si>
  <si>
    <t>Project Period</t>
  </si>
  <si>
    <t>STUDENTS</t>
  </si>
  <si>
    <t>Base
 Year 1</t>
  </si>
  <si>
    <t>Base
 Year 2</t>
  </si>
  <si>
    <t>Base
 Year 3</t>
  </si>
  <si>
    <t>Base
 Year 4</t>
  </si>
  <si>
    <t>Base
 Year 5</t>
  </si>
  <si>
    <t>Salary
Year 1</t>
  </si>
  <si>
    <t>Salary
Year 2</t>
  </si>
  <si>
    <t>Salary
Year 3</t>
  </si>
  <si>
    <t>Salary
Year 4</t>
  </si>
  <si>
    <t>Salary
Year 5</t>
  </si>
  <si>
    <t>$ Fringe Year 1</t>
  </si>
  <si>
    <t>% Fringe
Year 1</t>
  </si>
  <si>
    <t>% Fringe
Year 2</t>
  </si>
  <si>
    <t>% Fringe
Year 3</t>
  </si>
  <si>
    <t>% Fringe
Year 4</t>
  </si>
  <si>
    <t>% Fringe
Year 5</t>
  </si>
  <si>
    <t>$ Fringe Year 2</t>
  </si>
  <si>
    <t>$ Fringe Year 3</t>
  </si>
  <si>
    <t>$ Fringe Year 4</t>
  </si>
  <si>
    <t>$ Fringe Year 5</t>
  </si>
  <si>
    <t>% Fringe
Year 6</t>
  </si>
  <si>
    <t>R&amp;R Generic Detailed Budget Total</t>
  </si>
  <si>
    <t>This Sheet Total Salary</t>
  </si>
  <si>
    <t>$ Fringe All Years</t>
  </si>
  <si>
    <t>Salary
Year 7</t>
  </si>
  <si>
    <t>Salary
ALL Years</t>
  </si>
  <si>
    <t>This Sheet Total Fringe</t>
  </si>
  <si>
    <t>SF 424 Form Details</t>
  </si>
  <si>
    <t>Year 1
Cal Mos</t>
  </si>
  <si>
    <t>Year 1
Salary</t>
  </si>
  <si>
    <t>Year 1
Fringe</t>
  </si>
  <si>
    <t>OTHER PERSONNEL</t>
  </si>
  <si>
    <t>Undergraduate Students</t>
  </si>
  <si>
    <t>Graduate Students</t>
  </si>
  <si>
    <t>Year 2
Cal Mos</t>
  </si>
  <si>
    <t>Year 2
Salary</t>
  </si>
  <si>
    <t>Year 2
Fringe</t>
  </si>
  <si>
    <t>Year 2
TOTAL</t>
  </si>
  <si>
    <t>Year 1
TOTAL</t>
  </si>
  <si>
    <t>Year 3
Cal Mos</t>
  </si>
  <si>
    <t>Year 3
Salary</t>
  </si>
  <si>
    <t>Year 3
Fringe</t>
  </si>
  <si>
    <t>Year 3
TOTAL</t>
  </si>
  <si>
    <t>Year 4
Cal Mos</t>
  </si>
  <si>
    <t>Year 4
Salary</t>
  </si>
  <si>
    <t>Year 4
Fringe</t>
  </si>
  <si>
    <t>Year 4
TOTAL</t>
  </si>
  <si>
    <t>Year 5
Cal Mos</t>
  </si>
  <si>
    <t>Year 5
Salary</t>
  </si>
  <si>
    <t>Year 5
Fringe</t>
  </si>
  <si>
    <t>Year 5
TOTAL</t>
  </si>
  <si>
    <t>SENIOR/KEY TOTAL</t>
  </si>
  <si>
    <t>SENIOR/KEY PERSONNEL</t>
  </si>
  <si>
    <t>OTHER TOTAL</t>
  </si>
  <si>
    <t>Cal Mos
Year 1</t>
  </si>
  <si>
    <t>Cal Mos
Year 2</t>
  </si>
  <si>
    <t>Cal Mos
Year 3</t>
  </si>
  <si>
    <t>Cal Mos
Year 4</t>
  </si>
  <si>
    <t>Cal Mos
Year 5</t>
  </si>
  <si>
    <t>Cal Mos
ALL Years</t>
  </si>
  <si>
    <t>Basis #</t>
  </si>
  <si>
    <t>PERSONNEL TOTAL</t>
  </si>
  <si>
    <t>GEs</t>
  </si>
  <si>
    <t xml:space="preserve">Year 1 Base </t>
  </si>
  <si>
    <t xml:space="preserve">Year 2 Base </t>
  </si>
  <si>
    <t xml:space="preserve">Year 3 Base </t>
  </si>
  <si>
    <t xml:space="preserve">Year 4 Base </t>
  </si>
  <si>
    <t xml:space="preserve">Year 5 Base </t>
  </si>
  <si>
    <t>CHECK KEY</t>
  </si>
  <si>
    <t>CHECK OTHER</t>
  </si>
  <si>
    <t>CHECK TOTAL</t>
  </si>
  <si>
    <t>Diff</t>
  </si>
  <si>
    <t xml:space="preserve">Maximum  Award: </t>
  </si>
  <si>
    <t xml:space="preserve">Proposed Total: </t>
  </si>
  <si>
    <t>DGA Instructions:</t>
  </si>
  <si>
    <t>- Add Employee names in column K gray highlighted cells
- Employee names must match names listed in R&amp;R Generic Detailed Budget
- Undergraduate and Graduate Students are already entered.
-Once employees are entered, details in cells L3:AI30 will autopopulate</t>
  </si>
  <si>
    <t>Domestic</t>
  </si>
  <si>
    <t>Foreign</t>
  </si>
  <si>
    <t>[Total costs, Subrecipient Institution 1]</t>
  </si>
  <si>
    <t>NIH notice NOT-OD-24-057</t>
  </si>
  <si>
    <t>Updated January 29, 2024 in compliance with NOT-OD-24-057.html</t>
  </si>
  <si>
    <t xml:space="preserve">Estimated Future Rates by Budget and Resource Planning </t>
  </si>
  <si>
    <t>Blended OPE Link</t>
  </si>
  <si>
    <t>Estimated Future Rates</t>
  </si>
  <si>
    <t>Average Change in OPE Rates</t>
  </si>
  <si>
    <t>Change</t>
  </si>
  <si>
    <t>SPS estimate</t>
  </si>
  <si>
    <t>1-1-25 Notes for SPS calculated OPE</t>
  </si>
  <si>
    <t>For SPS calculated OPE I used the average of the previous 5 years for columns G &amp; H.  I hopt that the 5-year average is a good solution.</t>
  </si>
  <si>
    <t xml:space="preserve">Before 1-1-25, the budget template used a two formulas which sometimes resulted in an error when the OPE rate decreased. </t>
  </si>
  <si>
    <t xml:space="preserve">I could not determine the purpose of the table A15-H23.  Since the formulas for B26-F33 do not work without the table,  I will keep it as part of the spreadsheet. </t>
  </si>
  <si>
    <r>
      <t xml:space="preserve">Logic for formula calculation in Row </t>
    </r>
    <r>
      <rPr>
        <b/>
        <strike/>
        <sz val="10"/>
        <color indexed="10"/>
        <rFont val="Times New Roman"/>
        <family val="1"/>
      </rPr>
      <t>30</t>
    </r>
    <r>
      <rPr>
        <b/>
        <sz val="10"/>
        <color indexed="10"/>
        <rFont val="Times New Roman"/>
        <family val="1"/>
      </rPr>
      <t xml:space="preserve">, </t>
    </r>
    <r>
      <rPr>
        <b/>
        <sz val="10"/>
        <color indexed="12"/>
        <rFont val="Times New Roman"/>
        <family val="1"/>
      </rPr>
      <t>25</t>
    </r>
    <r>
      <rPr>
        <b/>
        <sz val="10"/>
        <color indexed="10"/>
        <rFont val="Times New Roman"/>
        <family val="1"/>
      </rPr>
      <t xml:space="preserve"> columns B through F.</t>
    </r>
  </si>
  <si>
    <t xml:space="preserve">The below two paragraphs are out of date but you may find useful for figuring out the formulas. </t>
  </si>
  <si>
    <r>
      <t>Logic for formula calculation in Rows</t>
    </r>
    <r>
      <rPr>
        <b/>
        <strike/>
        <sz val="10"/>
        <color indexed="10"/>
        <rFont val="Times New Roman"/>
        <family val="1"/>
      </rPr>
      <t xml:space="preserve"> 31 through 38</t>
    </r>
    <r>
      <rPr>
        <b/>
        <sz val="10"/>
        <color indexed="10"/>
        <rFont val="Times New Roman"/>
        <family val="1"/>
      </rPr>
      <t>, columns B through F:</t>
    </r>
  </si>
  <si>
    <t>I think it should be rows 26-33.</t>
  </si>
  <si>
    <t>Training Grant 8%</t>
  </si>
  <si>
    <t>26-27</t>
  </si>
  <si>
    <t>EQUIPMENT ($5000 or more/unit)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</si>
</sst>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409]d\-mmm\-yy;@"/>
    <numFmt numFmtId="166" formatCode="0.000"/>
    <numFmt numFmtId="167" formatCode="0.0000"/>
    <numFmt numFmtId="168" formatCode="_(* #,##0.0000_);_(* \(#,##0.0000\);_(* &quot;-&quot;????_);_(@_)"/>
    <numFmt numFmtId="169" formatCode="_(* #,##0_);_(* \(#,##0\);_(* &quot;-&quot;??_);_(@_)"/>
    <numFmt numFmtId="170" formatCode="#,##0.0000_);\(#,##0.0000\)"/>
    <numFmt numFmtId="171" formatCode="_(* #,##0.00_);_(* \(#,##0.00\);_(* &quot;-&quot;_);_(@_)"/>
    <numFmt numFmtId="172" formatCode="_(* #,##0.0_);_(* \(#,##0.0\);_(* &quot;-&quot;??_);_(@_)"/>
    <numFmt numFmtId="173" formatCode="0.00000000000000%"/>
  </numFmts>
  <fonts count="93" x14ac:knownFonts="1">
    <font>
      <sz val="10"/>
      <name val="Helv"/>
    </font>
    <font>
      <b/>
      <sz val="10"/>
      <name val="Helv"/>
    </font>
    <font>
      <sz val="10"/>
      <name val="Arial"/>
      <family val="2"/>
    </font>
    <font>
      <u/>
      <sz val="10"/>
      <color indexed="12"/>
      <name val="Helv"/>
    </font>
    <font>
      <sz val="8"/>
      <color indexed="81"/>
      <name val="Tahoma"/>
      <family val="2"/>
    </font>
    <font>
      <sz val="10"/>
      <name val="Times New Roman"/>
      <family val="1"/>
    </font>
    <font>
      <b/>
      <sz val="10"/>
      <name val="Times New Roman"/>
      <family val="1"/>
    </font>
    <font>
      <sz val="8"/>
      <name val="Times New Roman"/>
      <family val="1"/>
    </font>
    <font>
      <i/>
      <sz val="10"/>
      <name val="Times New Roman"/>
      <family val="1"/>
    </font>
    <font>
      <sz val="10"/>
      <color indexed="55"/>
      <name val="Times New Roman"/>
      <family val="1"/>
    </font>
    <font>
      <b/>
      <sz val="11"/>
      <name val="Times New Roman"/>
      <family val="1"/>
    </font>
    <font>
      <sz val="10"/>
      <color indexed="16"/>
      <name val="Times New Roman"/>
      <family val="1"/>
    </font>
    <font>
      <u/>
      <sz val="10"/>
      <name val="Times New Roman"/>
      <family val="1"/>
    </font>
    <font>
      <sz val="10"/>
      <name val="Helv"/>
    </font>
    <font>
      <sz val="9"/>
      <color indexed="81"/>
      <name val="Tahoma"/>
      <family val="2"/>
    </font>
    <font>
      <b/>
      <sz val="12"/>
      <name val="Times New Roman"/>
      <family val="1"/>
    </font>
    <font>
      <sz val="12"/>
      <name val="Times New Roman"/>
      <family val="1"/>
    </font>
    <font>
      <i/>
      <sz val="8"/>
      <name val="Times New Roman"/>
      <family val="1"/>
    </font>
    <font>
      <sz val="9"/>
      <name val="Arial"/>
      <family val="2"/>
    </font>
    <font>
      <b/>
      <sz val="10"/>
      <name val="Arial"/>
      <family val="2"/>
    </font>
    <font>
      <sz val="10"/>
      <color indexed="8"/>
      <name val="Arial"/>
      <family val="2"/>
    </font>
    <font>
      <b/>
      <sz val="9"/>
      <name val="Arial"/>
      <family val="2"/>
    </font>
    <font>
      <sz val="9"/>
      <color indexed="20"/>
      <name val="Arial"/>
      <family val="2"/>
    </font>
    <font>
      <b/>
      <sz val="10"/>
      <color indexed="8"/>
      <name val="Arial"/>
      <family val="2"/>
    </font>
    <font>
      <sz val="9"/>
      <color indexed="8"/>
      <name val="Arial"/>
      <family val="2"/>
    </font>
    <font>
      <u/>
      <sz val="9"/>
      <color indexed="8"/>
      <name val="Arial"/>
      <family val="2"/>
    </font>
    <font>
      <b/>
      <sz val="9"/>
      <color indexed="10"/>
      <name val="Arial"/>
      <family val="2"/>
    </font>
    <font>
      <b/>
      <sz val="8"/>
      <color indexed="81"/>
      <name val="Tahoma"/>
      <family val="2"/>
    </font>
    <font>
      <b/>
      <sz val="9"/>
      <color indexed="81"/>
      <name val="Tahoma"/>
      <family val="2"/>
    </font>
    <font>
      <b/>
      <sz val="12"/>
      <color indexed="10"/>
      <name val="Times New Roman"/>
      <family val="1"/>
    </font>
    <font>
      <b/>
      <i/>
      <sz val="10"/>
      <name val="Times New Roman"/>
      <family val="1"/>
    </font>
    <font>
      <sz val="11"/>
      <name val="Times New Roman"/>
      <family val="1"/>
    </font>
    <font>
      <b/>
      <sz val="11"/>
      <name val="Arial"/>
      <family val="2"/>
    </font>
    <font>
      <b/>
      <sz val="10"/>
      <color indexed="10"/>
      <name val="Times New Roman"/>
      <family val="1"/>
    </font>
    <font>
      <sz val="11"/>
      <name val="Arial"/>
      <family val="2"/>
    </font>
    <font>
      <b/>
      <sz val="8"/>
      <name val="Times New Roman"/>
      <family val="1"/>
    </font>
    <font>
      <sz val="11"/>
      <name val="Calibri"/>
      <family val="2"/>
    </font>
    <font>
      <b/>
      <sz val="12"/>
      <name val="Arial"/>
      <family val="2"/>
    </font>
    <font>
      <b/>
      <sz val="13"/>
      <name val="Arial"/>
      <family val="2"/>
    </font>
    <font>
      <sz val="8"/>
      <name val="Helv"/>
    </font>
    <font>
      <sz val="9"/>
      <name val="Helv"/>
    </font>
    <font>
      <b/>
      <sz val="8"/>
      <name val="Arial"/>
      <family val="2"/>
    </font>
    <font>
      <sz val="8"/>
      <name val="Arial"/>
      <family val="2"/>
    </font>
    <font>
      <u/>
      <sz val="11"/>
      <color indexed="12"/>
      <name val="Arial"/>
      <family val="2"/>
    </font>
    <font>
      <b/>
      <sz val="10"/>
      <color indexed="12"/>
      <name val="Times New Roman"/>
      <family val="1"/>
    </font>
    <font>
      <b/>
      <strike/>
      <sz val="10"/>
      <color indexed="10"/>
      <name val="Times New Roman"/>
      <family val="1"/>
    </font>
    <font>
      <sz val="11"/>
      <color theme="1"/>
      <name val="Calibri"/>
      <family val="2"/>
      <scheme val="minor"/>
    </font>
    <font>
      <b/>
      <sz val="11"/>
      <color theme="1"/>
      <name val="Calibri"/>
      <family val="2"/>
      <scheme val="minor"/>
    </font>
    <font>
      <b/>
      <sz val="10"/>
      <color theme="1"/>
      <name val="Times New Roman"/>
      <family val="1"/>
    </font>
    <font>
      <b/>
      <sz val="10"/>
      <color rgb="FF0000CC"/>
      <name val="Times New Roman"/>
      <family val="1"/>
    </font>
    <font>
      <b/>
      <sz val="10"/>
      <color rgb="FF00B050"/>
      <name val="Times New Roman"/>
      <family val="1"/>
    </font>
    <font>
      <sz val="10"/>
      <color rgb="FF0000CC"/>
      <name val="Times New Roman"/>
      <family val="1"/>
    </font>
    <font>
      <i/>
      <sz val="10"/>
      <color rgb="FF0000CC"/>
      <name val="Times New Roman"/>
      <family val="1"/>
    </font>
    <font>
      <b/>
      <sz val="16"/>
      <color rgb="FFFF0000"/>
      <name val="Times New Roman"/>
      <family val="1"/>
    </font>
    <font>
      <b/>
      <i/>
      <sz val="10"/>
      <color theme="0"/>
      <name val="Times New Roman"/>
      <family val="1"/>
    </font>
    <font>
      <b/>
      <sz val="10"/>
      <color rgb="FFFF0000"/>
      <name val="Times New Roman"/>
      <family val="1"/>
    </font>
    <font>
      <sz val="10"/>
      <color rgb="FFFF0000"/>
      <name val="Times New Roman"/>
      <family val="1"/>
    </font>
    <font>
      <sz val="10"/>
      <color rgb="FF006600"/>
      <name val="Times New Roman"/>
      <family val="1"/>
    </font>
    <font>
      <sz val="11"/>
      <color rgb="FF000000"/>
      <name val="Calibri"/>
      <family val="2"/>
    </font>
    <font>
      <b/>
      <sz val="12"/>
      <color theme="1"/>
      <name val="Arial"/>
      <family val="2"/>
    </font>
    <font>
      <b/>
      <sz val="11"/>
      <color theme="1"/>
      <name val="Arial"/>
      <family val="2"/>
    </font>
    <font>
      <sz val="10"/>
      <color theme="1"/>
      <name val="Arial"/>
      <family val="2"/>
    </font>
    <font>
      <sz val="12"/>
      <color rgb="FF000000"/>
      <name val="Arial"/>
      <family val="2"/>
    </font>
    <font>
      <sz val="12"/>
      <color rgb="FF000000"/>
      <name val="Calibri"/>
      <family val="2"/>
    </font>
    <font>
      <sz val="11"/>
      <color rgb="FF000000"/>
      <name val="Arial"/>
      <family val="2"/>
    </font>
    <font>
      <b/>
      <sz val="12"/>
      <color rgb="FF000000"/>
      <name val="Arial"/>
      <family val="2"/>
    </font>
    <font>
      <sz val="10"/>
      <color rgb="FF000000"/>
      <name val="Arial"/>
      <family val="2"/>
    </font>
    <font>
      <i/>
      <sz val="10"/>
      <color rgb="FF000000"/>
      <name val="Arial"/>
      <family val="2"/>
    </font>
    <font>
      <b/>
      <sz val="11"/>
      <color rgb="FF000000"/>
      <name val="Arial"/>
      <family val="2"/>
    </font>
    <font>
      <b/>
      <sz val="10"/>
      <color rgb="FF000000"/>
      <name val="Arial"/>
      <family val="2"/>
    </font>
    <font>
      <b/>
      <sz val="10"/>
      <color rgb="FF000000"/>
      <name val="Times New Roman"/>
      <family val="1"/>
    </font>
    <font>
      <b/>
      <sz val="9"/>
      <color theme="1"/>
      <name val="Arial"/>
      <family val="2"/>
    </font>
    <font>
      <sz val="9"/>
      <color theme="1"/>
      <name val="Helv"/>
    </font>
    <font>
      <b/>
      <sz val="8"/>
      <color theme="1"/>
      <name val="Arial"/>
      <family val="2"/>
    </font>
    <font>
      <sz val="8"/>
      <color theme="0"/>
      <name val="Arial"/>
      <family val="2"/>
    </font>
    <font>
      <sz val="8"/>
      <color theme="1"/>
      <name val="Arial"/>
      <family val="2"/>
    </font>
    <font>
      <sz val="10"/>
      <color rgb="FF000000"/>
      <name val="Calibri"/>
      <family val="2"/>
    </font>
    <font>
      <sz val="9"/>
      <color rgb="FF000000"/>
      <name val="Arial"/>
      <family val="2"/>
    </font>
    <font>
      <b/>
      <sz val="9"/>
      <color rgb="FF000000"/>
      <name val="Arial"/>
      <family val="2"/>
    </font>
    <font>
      <sz val="11"/>
      <color theme="1" tint="0.499984740745262"/>
      <name val="Arial"/>
      <family val="2"/>
    </font>
    <font>
      <b/>
      <sz val="10"/>
      <color rgb="FF000000"/>
      <name val="Calibri"/>
      <family val="2"/>
    </font>
    <font>
      <i/>
      <sz val="11"/>
      <color rgb="FFFF0000"/>
      <name val="Calibri"/>
      <family val="2"/>
    </font>
    <font>
      <b/>
      <i/>
      <sz val="11"/>
      <color theme="8" tint="-0.499984740745262"/>
      <name val="Arial"/>
      <family val="2"/>
    </font>
    <font>
      <sz val="10"/>
      <color theme="1" tint="0.34998626667073579"/>
      <name val="Arial"/>
      <family val="2"/>
    </font>
    <font>
      <i/>
      <sz val="9"/>
      <color rgb="FF000000"/>
      <name val="Arial"/>
      <family val="2"/>
    </font>
    <font>
      <sz val="10"/>
      <color theme="0"/>
      <name val="Times New Roman"/>
      <family val="1"/>
    </font>
    <font>
      <sz val="10"/>
      <color theme="1"/>
      <name val="Times New Roman"/>
      <family val="1"/>
    </font>
    <font>
      <b/>
      <sz val="11"/>
      <color rgb="FF006600"/>
      <name val="Times New Roman"/>
      <family val="1"/>
    </font>
    <font>
      <sz val="10"/>
      <color rgb="FF002060"/>
      <name val="Times New Roman"/>
      <family val="1"/>
    </font>
    <font>
      <b/>
      <sz val="11"/>
      <color rgb="FF0000FF"/>
      <name val="Times New Roman"/>
      <family val="1"/>
    </font>
    <font>
      <b/>
      <sz val="10"/>
      <color rgb="FF0000FF"/>
      <name val="Times New Roman"/>
      <family val="1"/>
    </font>
    <font>
      <sz val="9"/>
      <color theme="8" tint="-0.499984740745262"/>
      <name val="Arial"/>
      <family val="2"/>
    </font>
    <font>
      <b/>
      <sz val="12"/>
      <color rgb="FF0000CC"/>
      <name val="Times New Roman"/>
      <family val="1"/>
    </font>
  </fonts>
  <fills count="23">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43"/>
        <bgColor indexed="64"/>
      </patternFill>
    </fill>
    <fill>
      <patternFill patternType="solid">
        <fgColor indexed="42"/>
        <bgColor indexed="64"/>
      </patternFill>
    </fill>
    <fill>
      <patternFill patternType="solid">
        <fgColor rgb="FFFFFF0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CC"/>
        <bgColor indexed="64"/>
      </patternFill>
    </fill>
    <fill>
      <patternFill patternType="solid">
        <fgColor rgb="FFFFCC00"/>
        <bgColor indexed="64"/>
      </patternFill>
    </fill>
    <fill>
      <patternFill patternType="solid">
        <fgColor rgb="FF99FFCC"/>
        <bgColor indexed="64"/>
      </patternFill>
    </fill>
    <fill>
      <patternFill patternType="solid">
        <fgColor theme="9" tint="0.79998168889431442"/>
        <bgColor indexed="64"/>
      </patternFill>
    </fill>
    <fill>
      <patternFill patternType="solid">
        <fgColor rgb="FF00FF00"/>
        <bgColor indexed="64"/>
      </patternFill>
    </fill>
    <fill>
      <patternFill patternType="solid">
        <fgColor theme="7" tint="0.59999389629810485"/>
        <bgColor indexed="64"/>
      </patternFill>
    </fill>
    <fill>
      <patternFill patternType="solid">
        <fgColor theme="4" tint="0.79998168889431442"/>
        <bgColor rgb="FF000000"/>
      </patternFill>
    </fill>
    <fill>
      <patternFill patternType="solid">
        <fgColor theme="7" tint="0.79998168889431442"/>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4" tint="0.79998168889431442"/>
        <bgColor indexed="64"/>
      </patternFill>
    </fill>
    <fill>
      <patternFill patternType="solid">
        <fgColor rgb="FFF2F2F2"/>
        <bgColor indexed="64"/>
      </patternFill>
    </fill>
  </fills>
  <borders count="63">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right/>
      <top/>
      <bottom style="double">
        <color indexed="64"/>
      </bottom>
      <diagonal/>
    </border>
    <border>
      <left style="thin">
        <color indexed="64"/>
      </left>
      <right/>
      <top/>
      <bottom style="double">
        <color indexed="64"/>
      </bottom>
      <diagonal/>
    </border>
    <border>
      <left/>
      <right/>
      <top style="double">
        <color indexed="64"/>
      </top>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dotted">
        <color indexed="64"/>
      </top>
      <bottom style="dotted">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right style="medium">
        <color indexed="64"/>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indexed="64"/>
      </right>
      <top/>
      <bottom style="medium">
        <color rgb="FF000000"/>
      </bottom>
      <diagonal/>
    </border>
    <border>
      <left style="medium">
        <color indexed="64"/>
      </left>
      <right style="medium">
        <color rgb="FF000000"/>
      </right>
      <top style="medium">
        <color indexed="64"/>
      </top>
      <bottom style="medium">
        <color indexed="64"/>
      </bottom>
      <diagonal/>
    </border>
    <border>
      <left style="medium">
        <color indexed="64"/>
      </left>
      <right style="medium">
        <color rgb="FF000000"/>
      </right>
      <top style="medium">
        <color indexed="64"/>
      </top>
      <bottom style="medium">
        <color rgb="FF000000"/>
      </bottom>
      <diagonal/>
    </border>
    <border>
      <left style="medium">
        <color indexed="64"/>
      </left>
      <right style="medium">
        <color rgb="FF000000"/>
      </right>
      <top/>
      <bottom style="medium">
        <color indexed="64"/>
      </bottom>
      <diagonal/>
    </border>
    <border>
      <left style="thin">
        <color indexed="64"/>
      </left>
      <right/>
      <top/>
      <bottom style="medium">
        <color rgb="FF000000"/>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style="medium">
        <color rgb="FF000000"/>
      </left>
      <right style="medium">
        <color theme="0" tint="-0.14996795556505021"/>
      </right>
      <top style="medium">
        <color theme="0" tint="-0.14996795556505021"/>
      </top>
      <bottom style="medium">
        <color theme="0" tint="-0.14996795556505021"/>
      </bottom>
      <diagonal/>
    </border>
    <border>
      <left style="medium">
        <color rgb="FF000000"/>
      </left>
      <right/>
      <top style="thin">
        <color theme="0" tint="-0.24994659260841701"/>
      </top>
      <bottom style="thin">
        <color theme="0" tint="-0.24994659260841701"/>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s>
  <cellStyleXfs count="13">
    <xf numFmtId="0" fontId="0" fillId="0" borderId="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3" fillId="0" borderId="0" applyNumberFormat="0" applyFill="0" applyBorder="0" applyAlignment="0" applyProtection="0">
      <alignment vertical="top"/>
      <protection locked="0"/>
    </xf>
    <xf numFmtId="0" fontId="13" fillId="0" borderId="0"/>
    <xf numFmtId="0" fontId="2" fillId="0" borderId="0"/>
    <xf numFmtId="0" fontId="13" fillId="0" borderId="0"/>
    <xf numFmtId="0" fontId="46"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46" fillId="0" borderId="0" applyFont="0" applyFill="0" applyBorder="0" applyAlignment="0" applyProtection="0"/>
  </cellStyleXfs>
  <cellXfs count="559">
    <xf numFmtId="0" fontId="0" fillId="0" borderId="0" xfId="0"/>
    <xf numFmtId="0" fontId="5" fillId="0" borderId="0" xfId="0" applyFont="1"/>
    <xf numFmtId="0" fontId="5" fillId="0" borderId="1" xfId="0" applyFont="1" applyBorder="1"/>
    <xf numFmtId="0" fontId="5" fillId="0" borderId="2" xfId="0" applyFont="1" applyBorder="1"/>
    <xf numFmtId="0" fontId="5" fillId="0" borderId="3" xfId="0" applyFont="1" applyBorder="1"/>
    <xf numFmtId="0" fontId="5" fillId="0" borderId="4" xfId="0" applyFont="1" applyBorder="1"/>
    <xf numFmtId="0" fontId="5" fillId="0" borderId="5" xfId="0" applyFont="1" applyBorder="1"/>
    <xf numFmtId="3" fontId="6" fillId="0" borderId="0" xfId="0" applyNumberFormat="1" applyFont="1" applyAlignment="1">
      <alignment horizontal="right"/>
    </xf>
    <xf numFmtId="0" fontId="5" fillId="0" borderId="6" xfId="0" applyFont="1" applyBorder="1"/>
    <xf numFmtId="3" fontId="6" fillId="0" borderId="0" xfId="0" applyNumberFormat="1" applyFont="1"/>
    <xf numFmtId="9" fontId="9" fillId="0" borderId="0" xfId="0" applyNumberFormat="1" applyFont="1"/>
    <xf numFmtId="0" fontId="7" fillId="0" borderId="7" xfId="0" applyFont="1" applyBorder="1" applyAlignment="1">
      <alignment horizontal="center"/>
    </xf>
    <xf numFmtId="0" fontId="5" fillId="0" borderId="0" xfId="0" applyFont="1" applyAlignment="1">
      <alignment horizontal="center"/>
    </xf>
    <xf numFmtId="41" fontId="12" fillId="0" borderId="0" xfId="0" applyNumberFormat="1" applyFont="1" applyAlignment="1">
      <alignment horizontal="center"/>
    </xf>
    <xf numFmtId="0" fontId="6" fillId="0" borderId="0" xfId="0" applyFont="1"/>
    <xf numFmtId="10" fontId="5" fillId="0" borderId="0" xfId="0" applyNumberFormat="1" applyFont="1"/>
    <xf numFmtId="0" fontId="5" fillId="0" borderId="8" xfId="0" applyFont="1" applyBorder="1"/>
    <xf numFmtId="0" fontId="5" fillId="0" borderId="9" xfId="0" applyFont="1" applyBorder="1"/>
    <xf numFmtId="41" fontId="6" fillId="0" borderId="0" xfId="0" applyNumberFormat="1" applyFont="1"/>
    <xf numFmtId="41" fontId="6" fillId="0" borderId="10" xfId="0" applyNumberFormat="1" applyFont="1" applyBorder="1"/>
    <xf numFmtId="0" fontId="6" fillId="6" borderId="0" xfId="0" applyFont="1" applyFill="1" applyAlignment="1">
      <alignment horizontal="center"/>
    </xf>
    <xf numFmtId="41" fontId="5" fillId="0" borderId="0" xfId="0" applyNumberFormat="1" applyFont="1"/>
    <xf numFmtId="0" fontId="18" fillId="0" borderId="2" xfId="9" applyFont="1" applyBorder="1"/>
    <xf numFmtId="0" fontId="18" fillId="0" borderId="3" xfId="9" applyFont="1" applyBorder="1"/>
    <xf numFmtId="0" fontId="19" fillId="0" borderId="3" xfId="9" applyFont="1" applyBorder="1" applyAlignment="1">
      <alignment horizontal="center"/>
    </xf>
    <xf numFmtId="0" fontId="18" fillId="0" borderId="8" xfId="9" applyFont="1" applyBorder="1"/>
    <xf numFmtId="0" fontId="20" fillId="0" borderId="0" xfId="9" applyFont="1" applyProtection="1">
      <protection locked="0"/>
    </xf>
    <xf numFmtId="0" fontId="13" fillId="0" borderId="0" xfId="0" applyFont="1" applyProtection="1">
      <protection locked="0"/>
    </xf>
    <xf numFmtId="0" fontId="0" fillId="0" borderId="0" xfId="0" applyProtection="1">
      <protection locked="0"/>
    </xf>
    <xf numFmtId="0" fontId="18" fillId="0" borderId="4" xfId="9" applyFont="1" applyBorder="1"/>
    <xf numFmtId="0" fontId="21" fillId="0" borderId="0" xfId="9" applyFont="1" applyAlignment="1">
      <alignment horizontal="center"/>
    </xf>
    <xf numFmtId="0" fontId="18" fillId="0" borderId="0" xfId="9" applyFont="1"/>
    <xf numFmtId="0" fontId="22" fillId="0" borderId="0" xfId="9" applyFont="1"/>
    <xf numFmtId="0" fontId="18" fillId="0" borderId="5" xfId="9" applyFont="1" applyBorder="1"/>
    <xf numFmtId="0" fontId="20" fillId="0" borderId="4" xfId="9" applyFont="1" applyBorder="1"/>
    <xf numFmtId="0" fontId="20" fillId="0" borderId="0" xfId="9" applyFont="1"/>
    <xf numFmtId="0" fontId="20" fillId="0" borderId="5" xfId="9" applyFont="1" applyBorder="1"/>
    <xf numFmtId="0" fontId="0" fillId="0" borderId="5" xfId="0" applyBorder="1"/>
    <xf numFmtId="0" fontId="24" fillId="2" borderId="4" xfId="9" applyFont="1" applyFill="1" applyBorder="1" applyAlignment="1">
      <alignment horizontal="center"/>
    </xf>
    <xf numFmtId="0" fontId="24" fillId="2" borderId="0" xfId="9" applyFont="1" applyFill="1" applyAlignment="1">
      <alignment horizontal="center"/>
    </xf>
    <xf numFmtId="0" fontId="24" fillId="2" borderId="0" xfId="9" applyFont="1" applyFill="1"/>
    <xf numFmtId="0" fontId="24" fillId="2" borderId="5" xfId="9" applyFont="1" applyFill="1" applyBorder="1" applyAlignment="1">
      <alignment horizontal="center"/>
    </xf>
    <xf numFmtId="0" fontId="18" fillId="0" borderId="0" xfId="9" applyFont="1" applyProtection="1">
      <protection locked="0"/>
    </xf>
    <xf numFmtId="0" fontId="24" fillId="2" borderId="11" xfId="9" applyFont="1" applyFill="1" applyBorder="1" applyAlignment="1">
      <alignment horizontal="center"/>
    </xf>
    <xf numFmtId="0" fontId="24" fillId="2" borderId="10" xfId="9" applyFont="1" applyFill="1" applyBorder="1" applyAlignment="1">
      <alignment horizontal="center"/>
    </xf>
    <xf numFmtId="0" fontId="25" fillId="2" borderId="0" xfId="9" applyFont="1" applyFill="1"/>
    <xf numFmtId="0" fontId="24" fillId="2" borderId="12" xfId="9" applyFont="1" applyFill="1" applyBorder="1" applyAlignment="1">
      <alignment horizontal="center"/>
    </xf>
    <xf numFmtId="0" fontId="25" fillId="2" borderId="5" xfId="9" applyFont="1" applyFill="1" applyBorder="1"/>
    <xf numFmtId="0" fontId="23" fillId="0" borderId="0" xfId="9" applyFont="1" applyAlignment="1">
      <alignment horizontal="center"/>
    </xf>
    <xf numFmtId="0" fontId="25" fillId="2" borderId="0" xfId="9" applyFont="1" applyFill="1" applyAlignment="1">
      <alignment horizontal="center"/>
    </xf>
    <xf numFmtId="0" fontId="24" fillId="2" borderId="0" xfId="9" applyFont="1" applyFill="1" applyAlignment="1">
      <alignment horizontal="right"/>
    </xf>
    <xf numFmtId="0" fontId="24" fillId="2" borderId="5" xfId="9" applyFont="1" applyFill="1" applyBorder="1" applyAlignment="1">
      <alignment horizontal="right"/>
    </xf>
    <xf numFmtId="13" fontId="20" fillId="0" borderId="0" xfId="9" applyNumberFormat="1" applyFont="1" applyAlignment="1">
      <alignment horizontal="center"/>
    </xf>
    <xf numFmtId="13" fontId="20" fillId="0" borderId="0" xfId="9" quotePrefix="1" applyNumberFormat="1" applyFont="1" applyAlignment="1">
      <alignment horizontal="center"/>
    </xf>
    <xf numFmtId="13" fontId="20" fillId="0" borderId="0" xfId="9" applyNumberFormat="1" applyFont="1" applyAlignment="1" applyProtection="1">
      <alignment horizontal="center"/>
      <protection locked="0"/>
    </xf>
    <xf numFmtId="167" fontId="21" fillId="7" borderId="13" xfId="9" applyNumberFormat="1" applyFont="1" applyFill="1" applyBorder="1" applyAlignment="1" applyProtection="1">
      <alignment horizontal="center"/>
      <protection locked="0"/>
    </xf>
    <xf numFmtId="2" fontId="21" fillId="8" borderId="14" xfId="9" applyNumberFormat="1" applyFont="1" applyFill="1" applyBorder="1"/>
    <xf numFmtId="2" fontId="21" fillId="3" borderId="0" xfId="9" applyNumberFormat="1" applyFont="1" applyFill="1"/>
    <xf numFmtId="0" fontId="21" fillId="7" borderId="15" xfId="9" applyFont="1" applyFill="1" applyBorder="1" applyProtection="1">
      <protection locked="0"/>
    </xf>
    <xf numFmtId="2" fontId="21" fillId="8" borderId="14" xfId="9" applyNumberFormat="1" applyFont="1" applyFill="1" applyBorder="1" applyAlignment="1">
      <alignment horizontal="right"/>
    </xf>
    <xf numFmtId="0" fontId="21" fillId="3" borderId="14" xfId="9" applyFont="1" applyFill="1" applyBorder="1"/>
    <xf numFmtId="2" fontId="21" fillId="8" borderId="16" xfId="9" applyNumberFormat="1" applyFont="1" applyFill="1" applyBorder="1"/>
    <xf numFmtId="2" fontId="0" fillId="0" borderId="0" xfId="0" applyNumberFormat="1" applyAlignment="1">
      <alignment horizontal="center"/>
    </xf>
    <xf numFmtId="0" fontId="18" fillId="3" borderId="17" xfId="9" applyFont="1" applyFill="1" applyBorder="1"/>
    <xf numFmtId="2" fontId="18" fillId="3" borderId="6" xfId="9" applyNumberFormat="1" applyFont="1" applyFill="1" applyBorder="1"/>
    <xf numFmtId="0" fontId="18" fillId="3" borderId="6" xfId="9" applyFont="1" applyFill="1" applyBorder="1"/>
    <xf numFmtId="2" fontId="18" fillId="3" borderId="9" xfId="9" applyNumberFormat="1" applyFont="1" applyFill="1" applyBorder="1"/>
    <xf numFmtId="2" fontId="18" fillId="0" borderId="0" xfId="9" applyNumberFormat="1" applyFont="1"/>
    <xf numFmtId="2" fontId="18" fillId="0" borderId="5" xfId="9" applyNumberFormat="1" applyFont="1" applyBorder="1"/>
    <xf numFmtId="0" fontId="26" fillId="0" borderId="4" xfId="9" applyFont="1" applyBorder="1"/>
    <xf numFmtId="2" fontId="26" fillId="0" borderId="0" xfId="9" applyNumberFormat="1" applyFont="1"/>
    <xf numFmtId="0" fontId="26" fillId="0" borderId="0" xfId="9" applyFont="1"/>
    <xf numFmtId="0" fontId="26" fillId="0" borderId="5" xfId="9" applyFont="1" applyBorder="1"/>
    <xf numFmtId="0" fontId="25" fillId="2" borderId="4" xfId="9" applyFont="1" applyFill="1" applyBorder="1"/>
    <xf numFmtId="0" fontId="18" fillId="2" borderId="4" xfId="9" applyFont="1" applyFill="1" applyBorder="1" applyAlignment="1">
      <alignment horizontal="right"/>
    </xf>
    <xf numFmtId="0" fontId="22" fillId="2" borderId="0" xfId="9" applyFont="1" applyFill="1" applyAlignment="1">
      <alignment horizontal="right"/>
    </xf>
    <xf numFmtId="0" fontId="18" fillId="2" borderId="0" xfId="9" applyFont="1" applyFill="1" applyAlignment="1">
      <alignment horizontal="right"/>
    </xf>
    <xf numFmtId="0" fontId="22" fillId="2" borderId="0" xfId="9" applyFont="1" applyFill="1"/>
    <xf numFmtId="0" fontId="25" fillId="2" borderId="12" xfId="9" applyFont="1" applyFill="1" applyBorder="1" applyAlignment="1">
      <alignment horizontal="center"/>
    </xf>
    <xf numFmtId="0" fontId="21" fillId="9" borderId="13" xfId="9" applyFont="1" applyFill="1" applyBorder="1" applyProtection="1">
      <protection locked="0"/>
    </xf>
    <xf numFmtId="168" fontId="21" fillId="8" borderId="14" xfId="9" applyNumberFormat="1" applyFont="1" applyFill="1" applyBorder="1" applyAlignment="1">
      <alignment horizontal="center"/>
    </xf>
    <xf numFmtId="0" fontId="21" fillId="9" borderId="15" xfId="9" applyFont="1" applyFill="1" applyBorder="1" applyProtection="1">
      <protection locked="0"/>
    </xf>
    <xf numFmtId="168" fontId="21" fillId="8" borderId="14" xfId="9" applyNumberFormat="1" applyFont="1" applyFill="1" applyBorder="1"/>
    <xf numFmtId="168" fontId="21" fillId="8" borderId="16" xfId="9" applyNumberFormat="1" applyFont="1" applyFill="1" applyBorder="1"/>
    <xf numFmtId="2" fontId="26" fillId="0" borderId="0" xfId="9" applyNumberFormat="1" applyFont="1" applyProtection="1">
      <protection locked="0"/>
    </xf>
    <xf numFmtId="2" fontId="18" fillId="0" borderId="0" xfId="9" applyNumberFormat="1" applyFont="1" applyProtection="1">
      <protection locked="0"/>
    </xf>
    <xf numFmtId="43" fontId="5" fillId="0" borderId="0" xfId="0" applyNumberFormat="1" applyFont="1"/>
    <xf numFmtId="0" fontId="6" fillId="10" borderId="14" xfId="0" applyFont="1" applyFill="1" applyBorder="1"/>
    <xf numFmtId="0" fontId="6" fillId="10" borderId="18" xfId="0" applyFont="1" applyFill="1" applyBorder="1"/>
    <xf numFmtId="0" fontId="6" fillId="10" borderId="19" xfId="0" applyFont="1" applyFill="1" applyBorder="1" applyAlignment="1">
      <alignment horizontal="right"/>
    </xf>
    <xf numFmtId="0" fontId="5" fillId="10" borderId="0" xfId="0" applyFont="1" applyFill="1"/>
    <xf numFmtId="3" fontId="8" fillId="0" borderId="0" xfId="0" applyNumberFormat="1" applyFont="1" applyAlignment="1">
      <alignment horizontal="left"/>
    </xf>
    <xf numFmtId="3" fontId="5" fillId="0" borderId="0" xfId="0" applyNumberFormat="1" applyFont="1"/>
    <xf numFmtId="0" fontId="0" fillId="0" borderId="1" xfId="0" applyBorder="1"/>
    <xf numFmtId="43" fontId="48" fillId="0" borderId="0" xfId="1" applyFont="1" applyFill="1" applyBorder="1"/>
    <xf numFmtId="43" fontId="5" fillId="0" borderId="0" xfId="1" applyFont="1" applyFill="1" applyBorder="1" applyAlignment="1"/>
    <xf numFmtId="10" fontId="5" fillId="0" borderId="0" xfId="10" applyNumberFormat="1" applyFont="1" applyFill="1" applyBorder="1"/>
    <xf numFmtId="0" fontId="0" fillId="0" borderId="20" xfId="0" applyBorder="1"/>
    <xf numFmtId="43" fontId="49" fillId="11" borderId="21" xfId="1" applyFont="1" applyFill="1" applyBorder="1"/>
    <xf numFmtId="43" fontId="49" fillId="10" borderId="22" xfId="1" applyFont="1" applyFill="1" applyBorder="1"/>
    <xf numFmtId="44" fontId="48" fillId="12" borderId="22" xfId="1" applyNumberFormat="1" applyFont="1" applyFill="1" applyBorder="1"/>
    <xf numFmtId="43" fontId="48" fillId="10" borderId="21" xfId="1" applyFont="1" applyFill="1" applyBorder="1"/>
    <xf numFmtId="43" fontId="48" fillId="10" borderId="23" xfId="1" applyFont="1" applyFill="1" applyBorder="1"/>
    <xf numFmtId="44" fontId="48" fillId="10" borderId="22" xfId="1" applyNumberFormat="1" applyFont="1" applyFill="1" applyBorder="1"/>
    <xf numFmtId="43" fontId="5" fillId="0" borderId="0" xfId="1" applyFont="1" applyFill="1" applyBorder="1" applyAlignment="1">
      <alignment horizontal="center"/>
    </xf>
    <xf numFmtId="43" fontId="48" fillId="10" borderId="1" xfId="1" applyFont="1" applyFill="1" applyBorder="1"/>
    <xf numFmtId="43" fontId="48" fillId="10" borderId="0" xfId="1" applyFont="1" applyFill="1" applyBorder="1"/>
    <xf numFmtId="44" fontId="6" fillId="10" borderId="15" xfId="1" applyNumberFormat="1" applyFont="1" applyFill="1" applyBorder="1" applyAlignment="1">
      <alignment horizontal="center"/>
    </xf>
    <xf numFmtId="44" fontId="6" fillId="0" borderId="0" xfId="1" applyNumberFormat="1" applyFont="1" applyFill="1" applyBorder="1" applyAlignment="1">
      <alignment horizontal="center"/>
    </xf>
    <xf numFmtId="37" fontId="6" fillId="12" borderId="15" xfId="1" applyNumberFormat="1" applyFont="1" applyFill="1" applyBorder="1" applyAlignment="1">
      <alignment horizontal="center"/>
    </xf>
    <xf numFmtId="44" fontId="48" fillId="12" borderId="24" xfId="1" applyNumberFormat="1" applyFont="1" applyFill="1" applyBorder="1"/>
    <xf numFmtId="43" fontId="48" fillId="10" borderId="22" xfId="1" applyFont="1" applyFill="1" applyBorder="1"/>
    <xf numFmtId="44" fontId="48" fillId="10" borderId="25" xfId="1" applyNumberFormat="1" applyFont="1" applyFill="1" applyBorder="1"/>
    <xf numFmtId="43" fontId="5" fillId="0" borderId="0" xfId="1" applyFont="1" applyFill="1" applyBorder="1"/>
    <xf numFmtId="44" fontId="48" fillId="10" borderId="15" xfId="1" applyNumberFormat="1" applyFont="1" applyFill="1" applyBorder="1"/>
    <xf numFmtId="10" fontId="48" fillId="10" borderId="15" xfId="1" applyNumberFormat="1" applyFont="1" applyFill="1" applyBorder="1"/>
    <xf numFmtId="44" fontId="48" fillId="10" borderId="23" xfId="1" applyNumberFormat="1" applyFont="1" applyFill="1" applyBorder="1"/>
    <xf numFmtId="43" fontId="48" fillId="10" borderId="15" xfId="1" applyFont="1" applyFill="1" applyBorder="1" applyAlignment="1">
      <alignment horizontal="center"/>
    </xf>
    <xf numFmtId="43" fontId="49" fillId="10" borderId="0" xfId="1" applyFont="1" applyFill="1" applyBorder="1"/>
    <xf numFmtId="10" fontId="49" fillId="10" borderId="0" xfId="10" applyNumberFormat="1" applyFont="1" applyFill="1" applyBorder="1" applyAlignment="1">
      <alignment horizontal="right"/>
    </xf>
    <xf numFmtId="10" fontId="48" fillId="12" borderId="15" xfId="10" applyNumberFormat="1" applyFont="1" applyFill="1" applyBorder="1"/>
    <xf numFmtId="43" fontId="5" fillId="10" borderId="23" xfId="1" applyFont="1" applyFill="1" applyBorder="1" applyAlignment="1">
      <alignment horizontal="center"/>
    </xf>
    <xf numFmtId="0" fontId="0" fillId="10" borderId="23" xfId="0" applyFill="1" applyBorder="1"/>
    <xf numFmtId="10" fontId="5" fillId="10" borderId="23" xfId="10" applyNumberFormat="1" applyFont="1" applyFill="1" applyBorder="1"/>
    <xf numFmtId="0" fontId="5" fillId="10" borderId="22" xfId="0" applyFont="1" applyFill="1" applyBorder="1"/>
    <xf numFmtId="170" fontId="48" fillId="10" borderId="15" xfId="1" applyNumberFormat="1" applyFont="1" applyFill="1" applyBorder="1"/>
    <xf numFmtId="42" fontId="6" fillId="10" borderId="15" xfId="1" applyNumberFormat="1" applyFont="1" applyFill="1" applyBorder="1"/>
    <xf numFmtId="0" fontId="6" fillId="0" borderId="0" xfId="0" applyFont="1" applyAlignment="1">
      <alignment horizontal="left"/>
    </xf>
    <xf numFmtId="0" fontId="6" fillId="0" borderId="1" xfId="0" applyFont="1" applyBorder="1"/>
    <xf numFmtId="43" fontId="48" fillId="0" borderId="0" xfId="1" applyFont="1" applyFill="1" applyBorder="1" applyAlignment="1">
      <alignment horizontal="left"/>
    </xf>
    <xf numFmtId="0" fontId="0" fillId="0" borderId="26" xfId="0" applyBorder="1"/>
    <xf numFmtId="44" fontId="0" fillId="0" borderId="0" xfId="0" applyNumberFormat="1"/>
    <xf numFmtId="41" fontId="5" fillId="0" borderId="14" xfId="0" applyNumberFormat="1" applyFont="1" applyBorder="1"/>
    <xf numFmtId="0" fontId="6" fillId="9" borderId="0" xfId="0" applyFont="1" applyFill="1"/>
    <xf numFmtId="0" fontId="5" fillId="0" borderId="20" xfId="0" applyFont="1" applyBorder="1"/>
    <xf numFmtId="3" fontId="8" fillId="0" borderId="20" xfId="0" applyNumberFormat="1" applyFont="1" applyBorder="1" applyAlignment="1">
      <alignment horizontal="left"/>
    </xf>
    <xf numFmtId="3" fontId="5" fillId="0" borderId="1" xfId="0" applyNumberFormat="1" applyFont="1" applyBorder="1" applyAlignment="1">
      <alignment horizontal="left"/>
    </xf>
    <xf numFmtId="0" fontId="5" fillId="0" borderId="27" xfId="0" applyFont="1" applyBorder="1"/>
    <xf numFmtId="0" fontId="5" fillId="0" borderId="10" xfId="0" applyFont="1" applyBorder="1"/>
    <xf numFmtId="0" fontId="5" fillId="0" borderId="26" xfId="0" applyFont="1" applyBorder="1"/>
    <xf numFmtId="3" fontId="30" fillId="0" borderId="19" xfId="0" applyNumberFormat="1" applyFont="1" applyBorder="1" applyAlignment="1">
      <alignment horizontal="left"/>
    </xf>
    <xf numFmtId="0" fontId="8" fillId="0" borderId="19" xfId="0" applyFont="1" applyBorder="1"/>
    <xf numFmtId="0" fontId="8" fillId="0" borderId="14" xfId="0" applyFont="1" applyBorder="1"/>
    <xf numFmtId="0" fontId="5" fillId="0" borderId="14" xfId="0" applyFont="1" applyBorder="1"/>
    <xf numFmtId="0" fontId="5" fillId="0" borderId="18" xfId="0" applyFont="1" applyBorder="1"/>
    <xf numFmtId="0" fontId="6" fillId="9" borderId="15" xfId="0" applyFont="1" applyFill="1" applyBorder="1" applyAlignment="1">
      <alignment horizontal="center"/>
    </xf>
    <xf numFmtId="3" fontId="50" fillId="0" borderId="0" xfId="0" applyNumberFormat="1" applyFont="1"/>
    <xf numFmtId="0" fontId="51" fillId="0" borderId="0" xfId="0" applyFont="1"/>
    <xf numFmtId="3" fontId="52" fillId="0" borderId="0" xfId="0" applyNumberFormat="1" applyFont="1" applyAlignment="1">
      <alignment horizontal="left"/>
    </xf>
    <xf numFmtId="3" fontId="49" fillId="0" borderId="0" xfId="0" applyNumberFormat="1" applyFont="1"/>
    <xf numFmtId="3" fontId="51" fillId="0" borderId="0" xfId="0" applyNumberFormat="1" applyFont="1"/>
    <xf numFmtId="10" fontId="49" fillId="0" borderId="0" xfId="0" applyNumberFormat="1" applyFont="1"/>
    <xf numFmtId="0" fontId="2" fillId="10" borderId="39" xfId="0" applyFont="1" applyFill="1" applyBorder="1" applyAlignment="1">
      <alignment vertical="center" wrapText="1"/>
    </xf>
    <xf numFmtId="0" fontId="2" fillId="0" borderId="0" xfId="6"/>
    <xf numFmtId="14" fontId="2" fillId="0" borderId="0" xfId="6" applyNumberFormat="1"/>
    <xf numFmtId="0" fontId="2" fillId="0" borderId="0" xfId="6" applyAlignment="1">
      <alignment horizontal="center"/>
    </xf>
    <xf numFmtId="14" fontId="19" fillId="5" borderId="0" xfId="6" applyNumberFormat="1" applyFont="1" applyFill="1"/>
    <xf numFmtId="0" fontId="2" fillId="0" borderId="0" xfId="6" applyAlignment="1">
      <alignment horizontal="right"/>
    </xf>
    <xf numFmtId="43" fontId="2" fillId="0" borderId="0" xfId="2" applyFont="1"/>
    <xf numFmtId="43" fontId="2" fillId="0" borderId="0" xfId="6" applyNumberFormat="1"/>
    <xf numFmtId="164" fontId="2" fillId="0" borderId="0" xfId="11" applyNumberFormat="1" applyFont="1"/>
    <xf numFmtId="14" fontId="2" fillId="0" borderId="20" xfId="6" applyNumberFormat="1" applyBorder="1"/>
    <xf numFmtId="0" fontId="53" fillId="13" borderId="15" xfId="0" applyFont="1" applyFill="1" applyBorder="1" applyAlignment="1" applyProtection="1">
      <alignment horizontal="center"/>
      <protection locked="0"/>
    </xf>
    <xf numFmtId="0" fontId="15" fillId="11" borderId="23" xfId="0" applyFont="1" applyFill="1" applyBorder="1" applyProtection="1">
      <protection locked="0"/>
    </xf>
    <xf numFmtId="0" fontId="16" fillId="11" borderId="23" xfId="0" applyFont="1" applyFill="1" applyBorder="1" applyProtection="1">
      <protection locked="0"/>
    </xf>
    <xf numFmtId="0" fontId="5" fillId="11" borderId="22" xfId="0" applyFont="1" applyFill="1" applyBorder="1" applyProtection="1">
      <protection locked="0"/>
    </xf>
    <xf numFmtId="0" fontId="53" fillId="0" borderId="0" xfId="0" applyFont="1" applyAlignment="1" applyProtection="1">
      <alignment horizontal="center"/>
      <protection locked="0"/>
    </xf>
    <xf numFmtId="0" fontId="16" fillId="10" borderId="0" xfId="0" applyFont="1" applyFill="1" applyProtection="1">
      <protection locked="0"/>
    </xf>
    <xf numFmtId="0" fontId="5" fillId="10" borderId="0" xfId="0" applyFont="1" applyFill="1" applyProtection="1">
      <protection locked="0"/>
    </xf>
    <xf numFmtId="0" fontId="5" fillId="0" borderId="0" xfId="0" applyFont="1" applyProtection="1">
      <protection locked="0"/>
    </xf>
    <xf numFmtId="0" fontId="6" fillId="10" borderId="0" xfId="0" applyFont="1" applyFill="1" applyAlignment="1" applyProtection="1">
      <alignment horizontal="right"/>
      <protection locked="0"/>
    </xf>
    <xf numFmtId="0" fontId="6" fillId="0" borderId="0" xfId="0" applyFont="1" applyProtection="1">
      <protection locked="0"/>
    </xf>
    <xf numFmtId="0" fontId="6" fillId="0" borderId="0" xfId="0" applyFont="1" applyAlignment="1" applyProtection="1">
      <alignment horizontal="center"/>
      <protection locked="0"/>
    </xf>
    <xf numFmtId="0" fontId="6" fillId="0" borderId="1" xfId="0" applyFont="1" applyBorder="1" applyAlignment="1" applyProtection="1">
      <alignment horizontal="center"/>
      <protection locked="0"/>
    </xf>
    <xf numFmtId="165" fontId="5" fillId="10" borderId="0" xfId="0" applyNumberFormat="1" applyFont="1" applyFill="1" applyProtection="1">
      <protection locked="0"/>
    </xf>
    <xf numFmtId="0" fontId="5" fillId="0" borderId="1" xfId="0" applyFont="1" applyBorder="1" applyProtection="1">
      <protection locked="0"/>
    </xf>
    <xf numFmtId="3" fontId="10" fillId="0" borderId="0" xfId="0" applyNumberFormat="1" applyFont="1" applyProtection="1">
      <protection locked="0"/>
    </xf>
    <xf numFmtId="0" fontId="5" fillId="0" borderId="0" xfId="0" applyFont="1" applyAlignment="1" applyProtection="1">
      <alignment horizontal="center"/>
      <protection locked="0"/>
    </xf>
    <xf numFmtId="3" fontId="5" fillId="0" borderId="0" xfId="0" applyNumberFormat="1" applyFont="1" applyAlignment="1" applyProtection="1">
      <alignment horizontal="center"/>
      <protection locked="0"/>
    </xf>
    <xf numFmtId="3" fontId="5" fillId="0" borderId="0" xfId="0" quotePrefix="1" applyNumberFormat="1" applyFont="1" applyAlignment="1" applyProtection="1">
      <alignment horizontal="center"/>
      <protection locked="0"/>
    </xf>
    <xf numFmtId="3" fontId="5" fillId="0" borderId="0" xfId="0" applyNumberFormat="1" applyFont="1" applyProtection="1">
      <protection locked="0"/>
    </xf>
    <xf numFmtId="3" fontId="5" fillId="0" borderId="1" xfId="0" applyNumberFormat="1" applyFont="1" applyBorder="1" applyProtection="1">
      <protection locked="0"/>
    </xf>
    <xf numFmtId="41" fontId="5" fillId="0" borderId="0" xfId="0" applyNumberFormat="1" applyFont="1" applyProtection="1">
      <protection locked="0"/>
    </xf>
    <xf numFmtId="2" fontId="5" fillId="0" borderId="0" xfId="0" applyNumberFormat="1" applyFont="1" applyProtection="1">
      <protection locked="0"/>
    </xf>
    <xf numFmtId="169" fontId="5" fillId="0" borderId="0" xfId="1" applyNumberFormat="1" applyFont="1" applyFill="1" applyProtection="1">
      <protection locked="0"/>
    </xf>
    <xf numFmtId="169" fontId="5" fillId="0" borderId="1" xfId="1" applyNumberFormat="1" applyFont="1" applyFill="1" applyBorder="1" applyProtection="1">
      <protection locked="0"/>
    </xf>
    <xf numFmtId="169" fontId="5" fillId="0" borderId="1" xfId="1" applyNumberFormat="1" applyFont="1" applyBorder="1" applyProtection="1">
      <protection locked="0"/>
    </xf>
    <xf numFmtId="169" fontId="5" fillId="0" borderId="0" xfId="1" applyNumberFormat="1" applyFont="1" applyProtection="1">
      <protection locked="0"/>
    </xf>
    <xf numFmtId="3" fontId="6" fillId="0" borderId="0" xfId="0" applyNumberFormat="1" applyFont="1" applyProtection="1">
      <protection locked="0"/>
    </xf>
    <xf numFmtId="41" fontId="5" fillId="2" borderId="0" xfId="0" applyNumberFormat="1" applyFont="1" applyFill="1" applyProtection="1">
      <protection locked="0"/>
    </xf>
    <xf numFmtId="2" fontId="5" fillId="2" borderId="0" xfId="0" applyNumberFormat="1" applyFont="1" applyFill="1" applyProtection="1">
      <protection locked="0"/>
    </xf>
    <xf numFmtId="169" fontId="5" fillId="2" borderId="0" xfId="1" applyNumberFormat="1" applyFont="1" applyFill="1" applyProtection="1">
      <protection locked="0"/>
    </xf>
    <xf numFmtId="169" fontId="5" fillId="2" borderId="1" xfId="1" applyNumberFormat="1" applyFont="1" applyFill="1" applyBorder="1" applyProtection="1">
      <protection locked="0"/>
    </xf>
    <xf numFmtId="1" fontId="5" fillId="0" borderId="0" xfId="0" applyNumberFormat="1" applyFont="1" applyProtection="1">
      <protection locked="0"/>
    </xf>
    <xf numFmtId="169" fontId="5" fillId="0" borderId="0" xfId="1" applyNumberFormat="1" applyFont="1" applyBorder="1" applyProtection="1">
      <protection locked="0"/>
    </xf>
    <xf numFmtId="41" fontId="17" fillId="10" borderId="0" xfId="0" quotePrefix="1" applyNumberFormat="1" applyFont="1" applyFill="1" applyProtection="1">
      <protection locked="0"/>
    </xf>
    <xf numFmtId="0" fontId="54" fillId="0" borderId="0" xfId="0" applyFont="1" applyAlignment="1" applyProtection="1">
      <alignment horizontal="center"/>
      <protection locked="0"/>
    </xf>
    <xf numFmtId="41" fontId="5" fillId="0" borderId="0" xfId="0" applyNumberFormat="1" applyFont="1" applyAlignment="1" applyProtection="1">
      <alignment horizontal="right"/>
      <protection locked="0"/>
    </xf>
    <xf numFmtId="0" fontId="5" fillId="0" borderId="0" xfId="0" applyFont="1" applyAlignment="1" applyProtection="1">
      <alignment horizontal="right"/>
      <protection locked="0"/>
    </xf>
    <xf numFmtId="3" fontId="5" fillId="4" borderId="15" xfId="0" applyNumberFormat="1" applyFont="1" applyFill="1" applyBorder="1" applyAlignment="1" applyProtection="1">
      <alignment horizontal="center"/>
      <protection locked="0"/>
    </xf>
    <xf numFmtId="3" fontId="8" fillId="0" borderId="0" xfId="0" applyNumberFormat="1" applyFont="1" applyAlignment="1" applyProtection="1">
      <alignment horizontal="center"/>
      <protection locked="0"/>
    </xf>
    <xf numFmtId="3" fontId="30" fillId="0" borderId="23" xfId="0" applyNumberFormat="1" applyFont="1" applyBorder="1" applyProtection="1">
      <protection locked="0"/>
    </xf>
    <xf numFmtId="3" fontId="30" fillId="0" borderId="23" xfId="0" applyNumberFormat="1" applyFont="1" applyBorder="1" applyAlignment="1" applyProtection="1">
      <alignment horizontal="right"/>
      <protection locked="0"/>
    </xf>
    <xf numFmtId="169" fontId="6" fillId="0" borderId="23" xfId="1" applyNumberFormat="1" applyFont="1" applyBorder="1" applyProtection="1">
      <protection locked="0"/>
    </xf>
    <xf numFmtId="169" fontId="6" fillId="0" borderId="21" xfId="1" applyNumberFormat="1" applyFont="1" applyBorder="1" applyProtection="1">
      <protection locked="0"/>
    </xf>
    <xf numFmtId="9" fontId="5" fillId="0" borderId="0" xfId="0" applyNumberFormat="1" applyFont="1" applyProtection="1">
      <protection locked="0"/>
    </xf>
    <xf numFmtId="3" fontId="5" fillId="0" borderId="0" xfId="0" applyNumberFormat="1" applyFont="1" applyAlignment="1" applyProtection="1">
      <alignment horizontal="left"/>
      <protection locked="0"/>
    </xf>
    <xf numFmtId="41" fontId="11" fillId="0" borderId="0" xfId="0" applyNumberFormat="1" applyFont="1" applyAlignment="1" applyProtection="1">
      <alignment horizontal="right"/>
      <protection locked="0"/>
    </xf>
    <xf numFmtId="169" fontId="5" fillId="0" borderId="0" xfId="1" applyNumberFormat="1" applyFont="1" applyFill="1" applyBorder="1" applyProtection="1">
      <protection locked="0"/>
    </xf>
    <xf numFmtId="41" fontId="5" fillId="10" borderId="0" xfId="0" applyNumberFormat="1" applyFont="1" applyFill="1" applyProtection="1">
      <protection locked="0"/>
    </xf>
    <xf numFmtId="169" fontId="5" fillId="10" borderId="0" xfId="1" applyNumberFormat="1" applyFont="1" applyFill="1" applyBorder="1" applyProtection="1">
      <protection locked="0"/>
    </xf>
    <xf numFmtId="3" fontId="5" fillId="0" borderId="0" xfId="0" applyNumberFormat="1" applyFont="1" applyAlignment="1" applyProtection="1">
      <alignment horizontal="right"/>
      <protection locked="0"/>
    </xf>
    <xf numFmtId="169" fontId="5" fillId="0" borderId="10" xfId="1" applyNumberFormat="1" applyFont="1" applyBorder="1" applyProtection="1">
      <protection locked="0"/>
    </xf>
    <xf numFmtId="169" fontId="5" fillId="0" borderId="27" xfId="1" applyNumberFormat="1" applyFont="1" applyBorder="1" applyProtection="1">
      <protection locked="0"/>
    </xf>
    <xf numFmtId="3" fontId="8" fillId="0" borderId="0" xfId="0" applyNumberFormat="1" applyFont="1" applyProtection="1">
      <protection locked="0"/>
    </xf>
    <xf numFmtId="41" fontId="6" fillId="0" borderId="23" xfId="0" applyNumberFormat="1" applyFont="1" applyBorder="1" applyProtection="1">
      <protection locked="0"/>
    </xf>
    <xf numFmtId="3" fontId="6" fillId="0" borderId="0" xfId="0" applyNumberFormat="1" applyFont="1" applyAlignment="1" applyProtection="1">
      <alignment horizontal="right"/>
      <protection locked="0"/>
    </xf>
    <xf numFmtId="9" fontId="6" fillId="0" borderId="0" xfId="0" applyNumberFormat="1" applyFont="1" applyProtection="1">
      <protection locked="0"/>
    </xf>
    <xf numFmtId="169" fontId="6" fillId="0" borderId="0" xfId="1" applyNumberFormat="1" applyFont="1" applyProtection="1">
      <protection locked="0"/>
    </xf>
    <xf numFmtId="3" fontId="6" fillId="5" borderId="0" xfId="0" applyNumberFormat="1" applyFont="1" applyFill="1" applyAlignment="1" applyProtection="1">
      <alignment horizontal="right"/>
      <protection locked="0"/>
    </xf>
    <xf numFmtId="3" fontId="6" fillId="5" borderId="0" xfId="0" applyNumberFormat="1" applyFont="1" applyFill="1" applyProtection="1">
      <protection locked="0"/>
    </xf>
    <xf numFmtId="169" fontId="6" fillId="5" borderId="0" xfId="1" applyNumberFormat="1" applyFont="1" applyFill="1" applyProtection="1">
      <protection locked="0"/>
    </xf>
    <xf numFmtId="169" fontId="6" fillId="5" borderId="1" xfId="1" applyNumberFormat="1" applyFont="1" applyFill="1" applyBorder="1" applyProtection="1">
      <protection locked="0"/>
    </xf>
    <xf numFmtId="169" fontId="6" fillId="0" borderId="0" xfId="1" applyNumberFormat="1" applyFont="1" applyFill="1" applyProtection="1">
      <protection locked="0"/>
    </xf>
    <xf numFmtId="169" fontId="6" fillId="0" borderId="1" xfId="1" applyNumberFormat="1" applyFont="1" applyFill="1" applyBorder="1" applyProtection="1">
      <protection locked="0"/>
    </xf>
    <xf numFmtId="3" fontId="6" fillId="0" borderId="0" xfId="0" applyNumberFormat="1" applyFont="1" applyAlignment="1" applyProtection="1">
      <alignment horizontal="left"/>
      <protection locked="0"/>
    </xf>
    <xf numFmtId="3" fontId="30" fillId="0" borderId="0" xfId="0" applyNumberFormat="1" applyFont="1" applyAlignment="1" applyProtection="1">
      <alignment horizontal="right"/>
      <protection locked="0"/>
    </xf>
    <xf numFmtId="169" fontId="6" fillId="0" borderId="14" xfId="1" applyNumberFormat="1" applyFont="1" applyBorder="1" applyProtection="1">
      <protection locked="0"/>
    </xf>
    <xf numFmtId="169" fontId="6" fillId="0" borderId="19" xfId="1" applyNumberFormat="1" applyFont="1" applyBorder="1" applyProtection="1">
      <protection locked="0"/>
    </xf>
    <xf numFmtId="169" fontId="6" fillId="0" borderId="1" xfId="1" applyNumberFormat="1" applyFont="1" applyBorder="1" applyProtection="1">
      <protection locked="0"/>
    </xf>
    <xf numFmtId="3" fontId="8" fillId="0" borderId="0" xfId="0" applyNumberFormat="1" applyFont="1" applyAlignment="1" applyProtection="1">
      <alignment horizontal="left"/>
      <protection locked="0"/>
    </xf>
    <xf numFmtId="3" fontId="5" fillId="10" borderId="0" xfId="0" applyNumberFormat="1" applyFont="1" applyFill="1" applyAlignment="1" applyProtection="1">
      <alignment horizontal="left"/>
      <protection locked="0"/>
    </xf>
    <xf numFmtId="3" fontId="8" fillId="10" borderId="0" xfId="0" applyNumberFormat="1" applyFont="1" applyFill="1" applyAlignment="1" applyProtection="1">
      <alignment horizontal="right"/>
      <protection locked="0"/>
    </xf>
    <xf numFmtId="169" fontId="5" fillId="10" borderId="1" xfId="1" applyNumberFormat="1" applyFont="1" applyFill="1" applyBorder="1" applyProtection="1">
      <protection locked="0"/>
    </xf>
    <xf numFmtId="3" fontId="5" fillId="0" borderId="3" xfId="0" applyNumberFormat="1" applyFont="1" applyBorder="1" applyAlignment="1" applyProtection="1">
      <alignment horizontal="left"/>
      <protection locked="0"/>
    </xf>
    <xf numFmtId="3" fontId="5" fillId="0" borderId="3" xfId="0" applyNumberFormat="1" applyFont="1" applyBorder="1" applyProtection="1">
      <protection locked="0"/>
    </xf>
    <xf numFmtId="169" fontId="5" fillId="0" borderId="3" xfId="1" applyNumberFormat="1" applyFont="1" applyFill="1" applyBorder="1" applyProtection="1">
      <protection locked="0"/>
    </xf>
    <xf numFmtId="169" fontId="5" fillId="0" borderId="28" xfId="1" applyNumberFormat="1" applyFont="1" applyFill="1" applyBorder="1" applyProtection="1">
      <protection locked="0"/>
    </xf>
    <xf numFmtId="0" fontId="8" fillId="0" borderId="3" xfId="0" applyFont="1" applyBorder="1" applyProtection="1">
      <protection locked="0"/>
    </xf>
    <xf numFmtId="0" fontId="8" fillId="0" borderId="3" xfId="0" applyFont="1" applyBorder="1" applyAlignment="1" applyProtection="1">
      <alignment horizontal="right"/>
      <protection locked="0"/>
    </xf>
    <xf numFmtId="169" fontId="5" fillId="0" borderId="3" xfId="1" applyNumberFormat="1" applyFont="1" applyBorder="1" applyProtection="1">
      <protection locked="0"/>
    </xf>
    <xf numFmtId="169" fontId="6" fillId="0" borderId="28" xfId="1" applyNumberFormat="1" applyFont="1" applyBorder="1" applyProtection="1">
      <protection locked="0"/>
    </xf>
    <xf numFmtId="0" fontId="8" fillId="0" borderId="0" xfId="0" applyFont="1" applyProtection="1">
      <protection locked="0"/>
    </xf>
    <xf numFmtId="0" fontId="8" fillId="0" borderId="0" xfId="0" applyFont="1" applyAlignment="1" applyProtection="1">
      <alignment horizontal="right"/>
      <protection locked="0"/>
    </xf>
    <xf numFmtId="169" fontId="6" fillId="0" borderId="27" xfId="1" applyNumberFormat="1" applyFont="1" applyBorder="1" applyProtection="1">
      <protection locked="0"/>
    </xf>
    <xf numFmtId="0" fontId="8" fillId="10" borderId="0" xfId="0" applyFont="1" applyFill="1" applyProtection="1">
      <protection locked="0"/>
    </xf>
    <xf numFmtId="169" fontId="5" fillId="10" borderId="14" xfId="1" applyNumberFormat="1" applyFont="1" applyFill="1" applyBorder="1" applyProtection="1">
      <protection locked="0"/>
    </xf>
    <xf numFmtId="169" fontId="6" fillId="10" borderId="19" xfId="1" applyNumberFormat="1" applyFont="1" applyFill="1" applyBorder="1" applyProtection="1">
      <protection locked="0"/>
    </xf>
    <xf numFmtId="0" fontId="30" fillId="0" borderId="0" xfId="0" applyFont="1" applyAlignment="1" applyProtection="1">
      <alignment horizontal="right"/>
      <protection locked="0"/>
    </xf>
    <xf numFmtId="3" fontId="30" fillId="0" borderId="0" xfId="0" applyNumberFormat="1" applyFont="1" applyAlignment="1" applyProtection="1">
      <alignment horizontal="left"/>
      <protection locked="0"/>
    </xf>
    <xf numFmtId="41" fontId="6" fillId="0" borderId="0" xfId="0" applyNumberFormat="1" applyFont="1" applyProtection="1">
      <protection locked="0"/>
    </xf>
    <xf numFmtId="41" fontId="6" fillId="0" borderId="1" xfId="0" applyNumberFormat="1" applyFont="1" applyBorder="1" applyProtection="1">
      <protection locked="0"/>
    </xf>
    <xf numFmtId="0" fontId="6" fillId="11" borderId="0" xfId="0" applyFont="1" applyFill="1" applyProtection="1">
      <protection locked="0"/>
    </xf>
    <xf numFmtId="3" fontId="5" fillId="11" borderId="0" xfId="0" applyNumberFormat="1" applyFont="1" applyFill="1" applyProtection="1">
      <protection locked="0"/>
    </xf>
    <xf numFmtId="164" fontId="5" fillId="11" borderId="0" xfId="0" applyNumberFormat="1" applyFont="1" applyFill="1" applyProtection="1">
      <protection locked="0"/>
    </xf>
    <xf numFmtId="0" fontId="5" fillId="11" borderId="0" xfId="0" applyFont="1" applyFill="1" applyProtection="1">
      <protection locked="0"/>
    </xf>
    <xf numFmtId="41" fontId="5" fillId="11" borderId="27" xfId="0" applyNumberFormat="1" applyFont="1" applyFill="1" applyBorder="1" applyProtection="1">
      <protection locked="0"/>
    </xf>
    <xf numFmtId="41" fontId="5" fillId="0" borderId="14" xfId="0" applyNumberFormat="1" applyFont="1" applyBorder="1" applyProtection="1">
      <protection locked="0"/>
    </xf>
    <xf numFmtId="41" fontId="6" fillId="0" borderId="14" xfId="0" applyNumberFormat="1" applyFont="1" applyBorder="1" applyProtection="1">
      <protection locked="0"/>
    </xf>
    <xf numFmtId="41" fontId="5" fillId="0" borderId="19" xfId="0" applyNumberFormat="1" applyFont="1" applyBorder="1" applyProtection="1">
      <protection locked="0"/>
    </xf>
    <xf numFmtId="3" fontId="6" fillId="14" borderId="0" xfId="0" applyNumberFormat="1" applyFont="1" applyFill="1" applyAlignment="1" applyProtection="1">
      <alignment horizontal="right"/>
      <protection locked="0"/>
    </xf>
    <xf numFmtId="3" fontId="5" fillId="14" borderId="0" xfId="0" applyNumberFormat="1" applyFont="1" applyFill="1" applyProtection="1">
      <protection locked="0"/>
    </xf>
    <xf numFmtId="0" fontId="5" fillId="14" borderId="0" xfId="0" applyFont="1" applyFill="1" applyProtection="1">
      <protection locked="0"/>
    </xf>
    <xf numFmtId="10" fontId="6" fillId="14" borderId="15" xfId="10" applyNumberFormat="1" applyFont="1" applyFill="1" applyBorder="1" applyProtection="1">
      <protection locked="0"/>
    </xf>
    <xf numFmtId="41" fontId="6" fillId="14" borderId="1" xfId="0" applyNumberFormat="1" applyFont="1" applyFill="1" applyBorder="1" applyProtection="1">
      <protection locked="0"/>
    </xf>
    <xf numFmtId="41" fontId="6" fillId="0" borderId="10" xfId="0" applyNumberFormat="1" applyFont="1" applyBorder="1" applyProtection="1">
      <protection locked="0"/>
    </xf>
    <xf numFmtId="41" fontId="6" fillId="0" borderId="27" xfId="0" applyNumberFormat="1" applyFont="1" applyBorder="1" applyProtection="1">
      <protection locked="0"/>
    </xf>
    <xf numFmtId="41" fontId="6" fillId="0" borderId="29" xfId="0" applyNumberFormat="1" applyFont="1" applyBorder="1" applyProtection="1">
      <protection locked="0"/>
    </xf>
    <xf numFmtId="41" fontId="6" fillId="0" borderId="30" xfId="0" applyNumberFormat="1" applyFont="1" applyBorder="1" applyProtection="1">
      <protection locked="0"/>
    </xf>
    <xf numFmtId="3" fontId="55" fillId="0" borderId="0" xfId="0" applyNumberFormat="1" applyFont="1" applyProtection="1">
      <protection locked="0"/>
    </xf>
    <xf numFmtId="3" fontId="55" fillId="0" borderId="31" xfId="0" applyNumberFormat="1" applyFont="1" applyBorder="1" applyProtection="1">
      <protection locked="0"/>
    </xf>
    <xf numFmtId="0" fontId="55" fillId="0" borderId="31" xfId="0" applyFont="1" applyBorder="1" applyProtection="1">
      <protection locked="0"/>
    </xf>
    <xf numFmtId="164" fontId="5" fillId="11" borderId="10" xfId="0" applyNumberFormat="1" applyFont="1" applyFill="1" applyBorder="1"/>
    <xf numFmtId="0" fontId="19" fillId="0" borderId="32" xfId="6" applyFont="1" applyBorder="1" applyAlignment="1">
      <alignment horizontal="center"/>
    </xf>
    <xf numFmtId="0" fontId="19" fillId="0" borderId="32" xfId="6" applyFont="1" applyBorder="1" applyAlignment="1">
      <alignment wrapText="1"/>
    </xf>
    <xf numFmtId="172" fontId="2" fillId="0" borderId="32" xfId="2" applyNumberFormat="1" applyFont="1" applyBorder="1"/>
    <xf numFmtId="0" fontId="5" fillId="0" borderId="0" xfId="10" applyNumberFormat="1" applyFont="1" applyAlignment="1">
      <alignment horizontal="right"/>
    </xf>
    <xf numFmtId="164" fontId="5" fillId="0" borderId="0" xfId="0" applyNumberFormat="1" applyFont="1"/>
    <xf numFmtId="164" fontId="5" fillId="0" borderId="14" xfId="0" applyNumberFormat="1" applyFont="1" applyBorder="1"/>
    <xf numFmtId="164" fontId="5" fillId="0" borderId="10" xfId="0" applyNumberFormat="1" applyFont="1" applyBorder="1"/>
    <xf numFmtId="165" fontId="5" fillId="0" borderId="0" xfId="0" applyNumberFormat="1" applyFont="1" applyProtection="1">
      <protection locked="0"/>
    </xf>
    <xf numFmtId="0" fontId="5" fillId="0" borderId="19" xfId="0" applyFont="1" applyBorder="1"/>
    <xf numFmtId="0" fontId="6" fillId="10" borderId="0" xfId="0" applyFont="1" applyFill="1" applyAlignment="1">
      <alignment horizontal="center"/>
    </xf>
    <xf numFmtId="0" fontId="5" fillId="10" borderId="0" xfId="0" applyFont="1" applyFill="1" applyAlignment="1">
      <alignment horizontal="center"/>
    </xf>
    <xf numFmtId="0" fontId="5" fillId="0" borderId="0" xfId="5" applyFont="1"/>
    <xf numFmtId="0" fontId="2" fillId="10" borderId="40" xfId="0" applyFont="1" applyFill="1" applyBorder="1" applyAlignment="1">
      <alignment vertical="center" wrapText="1"/>
    </xf>
    <xf numFmtId="42" fontId="49" fillId="0" borderId="0" xfId="0" applyNumberFormat="1" applyFont="1"/>
    <xf numFmtId="0" fontId="5" fillId="0" borderId="0" xfId="0" quotePrefix="1" applyFont="1"/>
    <xf numFmtId="0" fontId="30" fillId="0" borderId="1" xfId="0" applyFont="1" applyBorder="1"/>
    <xf numFmtId="0" fontId="56" fillId="10" borderId="15" xfId="0" applyFont="1" applyFill="1" applyBorder="1" applyAlignment="1">
      <alignment horizontal="left" vertical="top" wrapText="1"/>
    </xf>
    <xf numFmtId="0" fontId="57" fillId="0" borderId="0" xfId="5" applyFont="1"/>
    <xf numFmtId="49" fontId="5" fillId="0" borderId="0" xfId="5" applyNumberFormat="1" applyFont="1"/>
    <xf numFmtId="164" fontId="5" fillId="0" borderId="0" xfId="10" applyNumberFormat="1" applyFont="1"/>
    <xf numFmtId="169" fontId="5" fillId="0" borderId="0" xfId="0" applyNumberFormat="1" applyFont="1"/>
    <xf numFmtId="0" fontId="5" fillId="0" borderId="0" xfId="0" applyFont="1" applyAlignment="1">
      <alignment horizontal="right"/>
    </xf>
    <xf numFmtId="41" fontId="5" fillId="0" borderId="0" xfId="0" applyNumberFormat="1" applyFont="1" applyAlignment="1">
      <alignment horizontal="right"/>
    </xf>
    <xf numFmtId="0" fontId="58" fillId="0" borderId="41" xfId="8" applyFont="1" applyBorder="1" applyAlignment="1">
      <alignment vertical="center" wrapText="1"/>
    </xf>
    <xf numFmtId="0" fontId="59" fillId="9" borderId="42" xfId="8" applyFont="1" applyFill="1" applyBorder="1" applyAlignment="1">
      <alignment horizontal="center" vertical="center" wrapText="1"/>
    </xf>
    <xf numFmtId="0" fontId="58" fillId="9" borderId="41" xfId="8" applyFont="1" applyFill="1" applyBorder="1" applyAlignment="1">
      <alignment vertical="center" wrapText="1"/>
    </xf>
    <xf numFmtId="10" fontId="58" fillId="9" borderId="43" xfId="10" applyNumberFormat="1" applyFont="1" applyFill="1" applyBorder="1" applyAlignment="1">
      <alignment horizontal="center" vertical="center" wrapText="1"/>
    </xf>
    <xf numFmtId="0" fontId="5" fillId="0" borderId="0" xfId="5" applyFont="1" applyAlignment="1">
      <alignment horizontal="center"/>
    </xf>
    <xf numFmtId="10" fontId="57" fillId="0" borderId="0" xfId="5" applyNumberFormat="1" applyFont="1"/>
    <xf numFmtId="166" fontId="5" fillId="0" borderId="3" xfId="0" applyNumberFormat="1" applyFont="1" applyBorder="1"/>
    <xf numFmtId="3" fontId="5" fillId="0" borderId="10" xfId="0" applyNumberFormat="1" applyFont="1" applyBorder="1" applyProtection="1">
      <protection locked="0"/>
    </xf>
    <xf numFmtId="3" fontId="5" fillId="0" borderId="10" xfId="0" applyNumberFormat="1" applyFont="1" applyBorder="1" applyAlignment="1" applyProtection="1">
      <alignment horizontal="right"/>
      <protection locked="0"/>
    </xf>
    <xf numFmtId="164" fontId="5" fillId="0" borderId="0" xfId="10" applyNumberFormat="1" applyFont="1" applyFill="1"/>
    <xf numFmtId="169" fontId="5" fillId="0" borderId="27" xfId="1" applyNumberFormat="1" applyFont="1" applyFill="1" applyBorder="1" applyProtection="1">
      <protection locked="0"/>
    </xf>
    <xf numFmtId="0" fontId="5" fillId="10" borderId="0" xfId="0" applyFont="1" applyFill="1" applyAlignment="1">
      <alignment horizontal="left"/>
    </xf>
    <xf numFmtId="10" fontId="5" fillId="0" borderId="0" xfId="5" applyNumberFormat="1" applyFont="1"/>
    <xf numFmtId="165" fontId="5" fillId="15" borderId="0" xfId="0" applyNumberFormat="1" applyFont="1" applyFill="1" applyProtection="1">
      <protection locked="0"/>
    </xf>
    <xf numFmtId="0" fontId="31" fillId="0" borderId="0" xfId="0" applyFont="1"/>
    <xf numFmtId="167" fontId="6" fillId="10" borderId="15" xfId="0" applyNumberFormat="1" applyFont="1" applyFill="1" applyBorder="1"/>
    <xf numFmtId="0" fontId="10" fillId="0" borderId="0" xfId="0" applyFont="1"/>
    <xf numFmtId="0" fontId="60" fillId="0" borderId="0" xfId="8" applyFont="1"/>
    <xf numFmtId="0" fontId="59" fillId="0" borderId="8" xfId="8" applyFont="1" applyBorder="1" applyAlignment="1">
      <alignment horizontal="center" vertical="center" wrapText="1"/>
    </xf>
    <xf numFmtId="0" fontId="59" fillId="0" borderId="42" xfId="8" applyFont="1" applyBorder="1" applyAlignment="1">
      <alignment horizontal="center" vertical="center" wrapText="1"/>
    </xf>
    <xf numFmtId="164" fontId="56" fillId="0" borderId="0" xfId="0" applyNumberFormat="1" applyFont="1"/>
    <xf numFmtId="0" fontId="59" fillId="0" borderId="3" xfId="8" applyFont="1" applyBorder="1" applyAlignment="1">
      <alignment horizontal="center" vertical="center" wrapText="1"/>
    </xf>
    <xf numFmtId="0" fontId="59" fillId="0" borderId="44" xfId="8" applyFont="1" applyBorder="1" applyAlignment="1">
      <alignment horizontal="center" vertical="center" wrapText="1"/>
    </xf>
    <xf numFmtId="0" fontId="58" fillId="0" borderId="45" xfId="0" applyFont="1" applyBorder="1" applyAlignment="1">
      <alignment vertical="center" wrapText="1"/>
    </xf>
    <xf numFmtId="0" fontId="59" fillId="9" borderId="44" xfId="8" applyFont="1" applyFill="1" applyBorder="1" applyAlignment="1">
      <alignment horizontal="center" vertical="center" wrapText="1"/>
    </xf>
    <xf numFmtId="10" fontId="58" fillId="9" borderId="44" xfId="10" applyNumberFormat="1" applyFont="1" applyFill="1" applyBorder="1" applyAlignment="1">
      <alignment horizontal="center" vertical="center" wrapText="1"/>
    </xf>
    <xf numFmtId="10" fontId="58" fillId="9" borderId="46" xfId="10" applyNumberFormat="1" applyFont="1" applyFill="1" applyBorder="1" applyAlignment="1">
      <alignment horizontal="center" vertical="center" wrapText="1"/>
    </xf>
    <xf numFmtId="10" fontId="58" fillId="9" borderId="47" xfId="10" applyNumberFormat="1" applyFont="1" applyFill="1" applyBorder="1" applyAlignment="1">
      <alignment horizontal="center" vertical="center" wrapText="1"/>
    </xf>
    <xf numFmtId="0" fontId="59" fillId="9" borderId="48" xfId="8" applyFont="1" applyFill="1" applyBorder="1" applyAlignment="1">
      <alignment horizontal="center" vertical="center" wrapText="1"/>
    </xf>
    <xf numFmtId="164" fontId="5" fillId="0" borderId="0" xfId="5" applyNumberFormat="1" applyFont="1"/>
    <xf numFmtId="10" fontId="56" fillId="0" borderId="0" xfId="10" quotePrefix="1" applyNumberFormat="1" applyFont="1" applyFill="1" applyBorder="1"/>
    <xf numFmtId="10" fontId="56" fillId="0" borderId="0" xfId="10" applyNumberFormat="1" applyFont="1" applyFill="1" applyBorder="1"/>
    <xf numFmtId="164" fontId="5" fillId="0" borderId="0" xfId="0" applyNumberFormat="1" applyFont="1" applyAlignment="1">
      <alignment horizontal="center"/>
    </xf>
    <xf numFmtId="0" fontId="6" fillId="0" borderId="0" xfId="5" applyFont="1"/>
    <xf numFmtId="164" fontId="6" fillId="0" borderId="0" xfId="0" applyNumberFormat="1" applyFont="1"/>
    <xf numFmtId="0" fontId="55" fillId="0" borderId="0" xfId="5" applyFont="1"/>
    <xf numFmtId="0" fontId="3" fillId="9" borderId="0" xfId="4" applyFill="1" applyBorder="1" applyAlignment="1" applyProtection="1"/>
    <xf numFmtId="14" fontId="35" fillId="16" borderId="33" xfId="0" quotePrefix="1" applyNumberFormat="1" applyFont="1" applyFill="1" applyBorder="1" applyAlignment="1">
      <alignment horizontal="center"/>
    </xf>
    <xf numFmtId="2" fontId="5" fillId="0" borderId="0" xfId="0" applyNumberFormat="1" applyFont="1"/>
    <xf numFmtId="0" fontId="59" fillId="0" borderId="28" xfId="8" applyFont="1" applyBorder="1" applyAlignment="1">
      <alignment horizontal="center" vertical="center" wrapText="1"/>
    </xf>
    <xf numFmtId="0" fontId="59" fillId="0" borderId="49" xfId="8" applyFont="1" applyBorder="1" applyAlignment="1">
      <alignment horizontal="center" vertical="center" wrapText="1"/>
    </xf>
    <xf numFmtId="43" fontId="3" fillId="0" borderId="0" xfId="4" applyNumberFormat="1" applyFill="1" applyBorder="1" applyAlignment="1" applyProtection="1">
      <alignment horizontal="center"/>
    </xf>
    <xf numFmtId="164" fontId="36" fillId="0" borderId="0" xfId="10" applyNumberFormat="1" applyFont="1" applyAlignment="1">
      <alignment vertical="center"/>
    </xf>
    <xf numFmtId="164" fontId="16" fillId="0" borderId="0" xfId="10" applyNumberFormat="1" applyFont="1"/>
    <xf numFmtId="3" fontId="6" fillId="14" borderId="0" xfId="0" applyNumberFormat="1" applyFont="1" applyFill="1" applyAlignment="1" applyProtection="1">
      <alignment horizontal="left"/>
      <protection locked="0"/>
    </xf>
    <xf numFmtId="0" fontId="3" fillId="0" borderId="0" xfId="4" applyAlignment="1" applyProtection="1"/>
    <xf numFmtId="0" fontId="3" fillId="6" borderId="10" xfId="4" applyFill="1" applyBorder="1" applyAlignment="1" applyProtection="1"/>
    <xf numFmtId="3" fontId="5" fillId="0" borderId="0" xfId="0" applyNumberFormat="1" applyFont="1" applyAlignment="1">
      <alignment horizontal="left"/>
    </xf>
    <xf numFmtId="3" fontId="30" fillId="0" borderId="14" xfId="0" applyNumberFormat="1" applyFont="1" applyBorder="1" applyAlignment="1">
      <alignment horizontal="left"/>
    </xf>
    <xf numFmtId="0" fontId="30" fillId="0" borderId="0" xfId="0" applyFont="1"/>
    <xf numFmtId="0" fontId="7" fillId="0" borderId="34" xfId="0" applyFont="1" applyBorder="1" applyAlignment="1">
      <alignment horizontal="center"/>
    </xf>
    <xf numFmtId="0" fontId="5" fillId="10" borderId="0" xfId="0" applyFont="1" applyFill="1" applyAlignment="1">
      <alignment horizontal="right"/>
    </xf>
    <xf numFmtId="0" fontId="61" fillId="0" borderId="15" xfId="0" applyFont="1" applyBorder="1"/>
    <xf numFmtId="0" fontId="2" fillId="0" borderId="15" xfId="0" applyFont="1" applyBorder="1" applyAlignment="1">
      <alignment horizontal="center"/>
    </xf>
    <xf numFmtId="0" fontId="62" fillId="0" borderId="0" xfId="0" applyFont="1"/>
    <xf numFmtId="0" fontId="37" fillId="0" borderId="0" xfId="0" applyFont="1" applyAlignment="1">
      <alignment horizontal="left" wrapText="1"/>
    </xf>
    <xf numFmtId="0" fontId="63" fillId="0" borderId="0" xfId="0" applyFont="1"/>
    <xf numFmtId="0" fontId="38" fillId="0" borderId="0" xfId="0" applyFont="1" applyAlignment="1">
      <alignment horizontal="left"/>
    </xf>
    <xf numFmtId="0" fontId="62" fillId="0" borderId="0" xfId="0" applyFont="1" applyAlignment="1">
      <alignment horizontal="center"/>
    </xf>
    <xf numFmtId="0" fontId="64" fillId="0" borderId="1" xfId="7" applyFont="1" applyBorder="1" applyAlignment="1">
      <alignment wrapText="1"/>
    </xf>
    <xf numFmtId="169" fontId="62" fillId="0" borderId="32" xfId="1" applyNumberFormat="1" applyFont="1" applyFill="1" applyBorder="1"/>
    <xf numFmtId="169" fontId="65" fillId="0" borderId="32" xfId="1" applyNumberFormat="1" applyFont="1" applyFill="1" applyBorder="1"/>
    <xf numFmtId="0" fontId="66" fillId="0" borderId="0" xfId="0" applyFont="1" applyAlignment="1">
      <alignment horizontal="center"/>
    </xf>
    <xf numFmtId="0" fontId="67" fillId="0" borderId="1" xfId="7" applyFont="1" applyBorder="1" applyAlignment="1">
      <alignment horizontal="left" wrapText="1" indent="1"/>
    </xf>
    <xf numFmtId="0" fontId="67" fillId="0" borderId="1" xfId="7" applyFont="1" applyBorder="1" applyAlignment="1">
      <alignment horizontal="left" vertical="top" wrapText="1" indent="1"/>
    </xf>
    <xf numFmtId="0" fontId="64" fillId="0" borderId="27" xfId="7" applyFont="1" applyBorder="1" applyAlignment="1">
      <alignment wrapText="1"/>
    </xf>
    <xf numFmtId="169" fontId="63" fillId="0" borderId="0" xfId="0" applyNumberFormat="1" applyFont="1"/>
    <xf numFmtId="0" fontId="68" fillId="17" borderId="21" xfId="7" applyFont="1" applyFill="1" applyBorder="1" applyAlignment="1">
      <alignment horizontal="center" wrapText="1"/>
    </xf>
    <xf numFmtId="0" fontId="68" fillId="17" borderId="15" xfId="7" applyFont="1" applyFill="1" applyBorder="1" applyAlignment="1">
      <alignment horizontal="center" wrapText="1"/>
    </xf>
    <xf numFmtId="0" fontId="69" fillId="17" borderId="15" xfId="0" applyFont="1" applyFill="1" applyBorder="1" applyAlignment="1">
      <alignment horizontal="center" wrapText="1"/>
    </xf>
    <xf numFmtId="0" fontId="62" fillId="17" borderId="15" xfId="0" applyFont="1" applyFill="1" applyBorder="1" applyAlignment="1">
      <alignment horizontal="center"/>
    </xf>
    <xf numFmtId="0" fontId="68" fillId="17" borderId="27" xfId="7" applyFont="1" applyFill="1" applyBorder="1" applyAlignment="1">
      <alignment wrapText="1"/>
    </xf>
    <xf numFmtId="169" fontId="65" fillId="17" borderId="15" xfId="1" applyNumberFormat="1" applyFont="1" applyFill="1" applyBorder="1"/>
    <xf numFmtId="169" fontId="5" fillId="0" borderId="0" xfId="1" applyNumberFormat="1" applyFont="1" applyFill="1" applyProtection="1"/>
    <xf numFmtId="169" fontId="5" fillId="0" borderId="1" xfId="1" applyNumberFormat="1" applyFont="1" applyBorder="1" applyProtection="1"/>
    <xf numFmtId="0" fontId="48" fillId="6" borderId="0" xfId="0" applyFont="1" applyFill="1" applyAlignment="1" applyProtection="1">
      <alignment horizontal="center"/>
      <protection locked="0"/>
    </xf>
    <xf numFmtId="0" fontId="2" fillId="0" borderId="15" xfId="0" applyFont="1" applyBorder="1" applyAlignment="1">
      <alignment horizontal="left"/>
    </xf>
    <xf numFmtId="169" fontId="5" fillId="0" borderId="0" xfId="1" applyNumberFormat="1" applyFont="1" applyFill="1" applyBorder="1" applyProtection="1"/>
    <xf numFmtId="169" fontId="5" fillId="0" borderId="1" xfId="1" applyNumberFormat="1" applyFont="1" applyFill="1" applyBorder="1" applyProtection="1"/>
    <xf numFmtId="0" fontId="70" fillId="0" borderId="0" xfId="0" applyFont="1" applyAlignment="1">
      <alignment horizontal="center"/>
    </xf>
    <xf numFmtId="169" fontId="6" fillId="0" borderId="0" xfId="1" applyNumberFormat="1" applyFont="1" applyBorder="1" applyProtection="1">
      <protection locked="0"/>
    </xf>
    <xf numFmtId="3" fontId="6" fillId="18" borderId="0" xfId="0" applyNumberFormat="1" applyFont="1" applyFill="1" applyAlignment="1" applyProtection="1">
      <alignment horizontal="left"/>
      <protection locked="0"/>
    </xf>
    <xf numFmtId="0" fontId="5" fillId="18" borderId="0" xfId="0" applyFont="1" applyFill="1" applyProtection="1">
      <protection locked="0"/>
    </xf>
    <xf numFmtId="3" fontId="30" fillId="18" borderId="0" xfId="0" applyNumberFormat="1" applyFont="1" applyFill="1" applyAlignment="1" applyProtection="1">
      <alignment horizontal="right"/>
      <protection locked="0"/>
    </xf>
    <xf numFmtId="169" fontId="6" fillId="18" borderId="0" xfId="1" applyNumberFormat="1" applyFont="1" applyFill="1" applyProtection="1">
      <protection locked="0"/>
    </xf>
    <xf numFmtId="3" fontId="6" fillId="5" borderId="0" xfId="0" applyNumberFormat="1" applyFont="1" applyFill="1" applyAlignment="1" applyProtection="1">
      <alignment horizontal="left"/>
      <protection locked="0"/>
    </xf>
    <xf numFmtId="169" fontId="6" fillId="18" borderId="20" xfId="1" applyNumberFormat="1" applyFont="1" applyFill="1" applyBorder="1" applyProtection="1">
      <protection locked="0"/>
    </xf>
    <xf numFmtId="3" fontId="8" fillId="10" borderId="6" xfId="0" applyNumberFormat="1" applyFont="1" applyFill="1" applyBorder="1" applyAlignment="1" applyProtection="1">
      <alignment horizontal="right"/>
      <protection locked="0"/>
    </xf>
    <xf numFmtId="169" fontId="5" fillId="10" borderId="6" xfId="1" applyNumberFormat="1" applyFont="1" applyFill="1" applyBorder="1" applyProtection="1">
      <protection locked="0"/>
    </xf>
    <xf numFmtId="0" fontId="61" fillId="10" borderId="25" xfId="0" applyFont="1" applyFill="1" applyBorder="1" applyAlignment="1">
      <alignment horizontal="center"/>
    </xf>
    <xf numFmtId="0" fontId="61" fillId="19" borderId="15" xfId="0" applyFont="1" applyFill="1" applyBorder="1" applyAlignment="1">
      <alignment horizontal="left" wrapText="1"/>
    </xf>
    <xf numFmtId="169" fontId="5" fillId="0" borderId="0" xfId="1" applyNumberFormat="1" applyFont="1"/>
    <xf numFmtId="169" fontId="56" fillId="0" borderId="0" xfId="1" applyNumberFormat="1" applyFont="1" applyFill="1" applyAlignment="1" applyProtection="1">
      <alignment horizontal="left"/>
      <protection locked="0"/>
    </xf>
    <xf numFmtId="0" fontId="40" fillId="0" borderId="0" xfId="0" applyFont="1"/>
    <xf numFmtId="0" fontId="71" fillId="18" borderId="0" xfId="0" applyFont="1" applyFill="1"/>
    <xf numFmtId="0" fontId="72" fillId="0" borderId="0" xfId="0" applyFont="1"/>
    <xf numFmtId="0" fontId="18" fillId="0" borderId="0" xfId="0" applyFont="1"/>
    <xf numFmtId="0" fontId="40" fillId="18" borderId="0" xfId="0" applyFont="1" applyFill="1"/>
    <xf numFmtId="0" fontId="39" fillId="0" borderId="0" xfId="0" applyFont="1"/>
    <xf numFmtId="0" fontId="73" fillId="18" borderId="0" xfId="0" applyFont="1" applyFill="1"/>
    <xf numFmtId="0" fontId="73" fillId="18" borderId="0" xfId="0" applyFont="1" applyFill="1" applyAlignment="1">
      <alignment horizontal="center" wrapText="1"/>
    </xf>
    <xf numFmtId="3" fontId="41" fillId="18" borderId="0" xfId="0" applyNumberFormat="1" applyFont="1" applyFill="1"/>
    <xf numFmtId="3" fontId="42" fillId="0" borderId="0" xfId="0" applyNumberFormat="1" applyFont="1"/>
    <xf numFmtId="0" fontId="42" fillId="0" borderId="0" xfId="0" applyFont="1"/>
    <xf numFmtId="0" fontId="42" fillId="0" borderId="0" xfId="0" applyFont="1" applyAlignment="1">
      <alignment horizontal="center"/>
    </xf>
    <xf numFmtId="0" fontId="42" fillId="0" borderId="0" xfId="0" applyFont="1" applyAlignment="1">
      <alignment horizontal="left"/>
    </xf>
    <xf numFmtId="4" fontId="42" fillId="0" borderId="0" xfId="0" applyNumberFormat="1" applyFont="1"/>
    <xf numFmtId="0" fontId="39" fillId="0" borderId="0" xfId="0" applyFont="1" applyAlignment="1">
      <alignment horizontal="center"/>
    </xf>
    <xf numFmtId="164" fontId="42" fillId="0" borderId="0" xfId="10" applyNumberFormat="1" applyFont="1" applyFill="1" applyProtection="1"/>
    <xf numFmtId="0" fontId="74" fillId="20" borderId="0" xfId="0" applyFont="1" applyFill="1" applyAlignment="1">
      <alignment horizontal="center"/>
    </xf>
    <xf numFmtId="0" fontId="39" fillId="18" borderId="0" xfId="0" applyFont="1" applyFill="1"/>
    <xf numFmtId="0" fontId="42" fillId="18" borderId="0" xfId="0" applyFont="1" applyFill="1"/>
    <xf numFmtId="0" fontId="73" fillId="0" borderId="0" xfId="0" applyFont="1" applyAlignment="1">
      <alignment horizontal="center"/>
    </xf>
    <xf numFmtId="0" fontId="73" fillId="0" borderId="0" xfId="0" applyFont="1" applyAlignment="1">
      <alignment horizontal="center" wrapText="1"/>
    </xf>
    <xf numFmtId="4" fontId="73" fillId="0" borderId="0" xfId="0" applyNumberFormat="1" applyFont="1" applyAlignment="1">
      <alignment horizontal="center" wrapText="1"/>
    </xf>
    <xf numFmtId="0" fontId="75" fillId="18" borderId="0" xfId="0" applyFont="1" applyFill="1" applyAlignment="1">
      <alignment horizontal="center" wrapText="1"/>
    </xf>
    <xf numFmtId="169" fontId="42" fillId="0" borderId="0" xfId="1" applyNumberFormat="1" applyFont="1" applyFill="1" applyProtection="1"/>
    <xf numFmtId="169" fontId="42" fillId="0" borderId="0" xfId="1" applyNumberFormat="1" applyFont="1" applyFill="1" applyAlignment="1" applyProtection="1">
      <alignment horizontal="center"/>
    </xf>
    <xf numFmtId="169" fontId="41" fillId="0" borderId="0" xfId="1" applyNumberFormat="1" applyFont="1" applyFill="1" applyProtection="1"/>
    <xf numFmtId="0" fontId="73" fillId="0" borderId="0" xfId="0" applyFont="1" applyAlignment="1">
      <alignment horizontal="right"/>
    </xf>
    <xf numFmtId="171" fontId="5" fillId="0" borderId="0" xfId="0" applyNumberFormat="1" applyFont="1" applyProtection="1">
      <protection locked="0"/>
    </xf>
    <xf numFmtId="43" fontId="42" fillId="0" borderId="0" xfId="1" applyFont="1" applyFill="1" applyProtection="1"/>
    <xf numFmtId="43" fontId="40" fillId="0" borderId="0" xfId="0" applyNumberFormat="1" applyFont="1"/>
    <xf numFmtId="3" fontId="62" fillId="0" borderId="0" xfId="0" applyNumberFormat="1" applyFont="1"/>
    <xf numFmtId="0" fontId="58" fillId="0" borderId="0" xfId="0" applyFont="1"/>
    <xf numFmtId="0" fontId="66" fillId="0" borderId="0" xfId="0" applyFont="1"/>
    <xf numFmtId="169" fontId="76" fillId="0" borderId="0" xfId="0" applyNumberFormat="1" applyFont="1"/>
    <xf numFmtId="0" fontId="61" fillId="10" borderId="32" xfId="0" applyFont="1" applyFill="1" applyBorder="1" applyAlignment="1">
      <alignment horizontal="center"/>
    </xf>
    <xf numFmtId="43" fontId="41" fillId="0" borderId="0" xfId="1" applyFont="1" applyFill="1" applyProtection="1"/>
    <xf numFmtId="3" fontId="39" fillId="18" borderId="0" xfId="0" applyNumberFormat="1" applyFont="1" applyFill="1"/>
    <xf numFmtId="169" fontId="69" fillId="0" borderId="0" xfId="0" applyNumberFormat="1" applyFont="1"/>
    <xf numFmtId="0" fontId="77" fillId="0" borderId="0" xfId="0" applyFont="1"/>
    <xf numFmtId="0" fontId="77" fillId="21" borderId="10" xfId="0" applyFont="1" applyFill="1" applyBorder="1" applyAlignment="1">
      <alignment horizontal="center" wrapText="1"/>
    </xf>
    <xf numFmtId="43" fontId="77" fillId="0" borderId="0" xfId="1" applyFont="1"/>
    <xf numFmtId="169" fontId="77" fillId="0" borderId="0" xfId="1" applyNumberFormat="1" applyFont="1"/>
    <xf numFmtId="0" fontId="77" fillId="21" borderId="0" xfId="0" applyFont="1" applyFill="1"/>
    <xf numFmtId="0" fontId="78" fillId="21" borderId="0" xfId="0" applyFont="1" applyFill="1"/>
    <xf numFmtId="169" fontId="77" fillId="0" borderId="0" xfId="0" applyNumberFormat="1" applyFont="1"/>
    <xf numFmtId="3" fontId="79" fillId="0" borderId="0" xfId="0" applyNumberFormat="1" applyFont="1"/>
    <xf numFmtId="0" fontId="68" fillId="21" borderId="10" xfId="0" applyFont="1" applyFill="1" applyBorder="1" applyAlignment="1">
      <alignment wrapText="1"/>
    </xf>
    <xf numFmtId="0" fontId="80" fillId="0" borderId="0" xfId="0" applyFont="1" applyAlignment="1">
      <alignment horizontal="right"/>
    </xf>
    <xf numFmtId="3" fontId="69" fillId="0" borderId="0" xfId="0" applyNumberFormat="1" applyFont="1" applyAlignment="1">
      <alignment horizontal="right"/>
    </xf>
    <xf numFmtId="169" fontId="69" fillId="21" borderId="0" xfId="0" applyNumberFormat="1" applyFont="1" applyFill="1"/>
    <xf numFmtId="169" fontId="76" fillId="0" borderId="0" xfId="0" applyNumberFormat="1" applyFont="1" applyAlignment="1">
      <alignment horizontal="right"/>
    </xf>
    <xf numFmtId="169" fontId="66" fillId="0" borderId="32" xfId="1" applyNumberFormat="1" applyFont="1" applyFill="1" applyBorder="1"/>
    <xf numFmtId="169" fontId="69" fillId="0" borderId="32" xfId="1" applyNumberFormat="1" applyFont="1" applyFill="1" applyBorder="1"/>
    <xf numFmtId="3" fontId="42" fillId="10" borderId="0" xfId="0" applyNumberFormat="1" applyFont="1" applyFill="1"/>
    <xf numFmtId="0" fontId="42" fillId="10" borderId="0" xfId="0" applyFont="1" applyFill="1"/>
    <xf numFmtId="0" fontId="39" fillId="10" borderId="0" xfId="0" applyFont="1" applyFill="1"/>
    <xf numFmtId="169" fontId="42" fillId="10" borderId="0" xfId="1" applyNumberFormat="1" applyFont="1" applyFill="1" applyAlignment="1" applyProtection="1">
      <alignment horizontal="center"/>
    </xf>
    <xf numFmtId="169" fontId="42" fillId="10" borderId="0" xfId="1" applyNumberFormat="1" applyFont="1" applyFill="1" applyProtection="1"/>
    <xf numFmtId="4" fontId="42" fillId="10" borderId="0" xfId="0" applyNumberFormat="1" applyFont="1" applyFill="1"/>
    <xf numFmtId="43" fontId="42" fillId="10" borderId="0" xfId="1" applyFont="1" applyFill="1" applyProtection="1"/>
    <xf numFmtId="0" fontId="75" fillId="10" borderId="0" xfId="0" applyFont="1" applyFill="1" applyAlignment="1">
      <alignment horizontal="center" wrapText="1"/>
    </xf>
    <xf numFmtId="0" fontId="40" fillId="10" borderId="0" xfId="0" applyFont="1" applyFill="1"/>
    <xf numFmtId="4" fontId="41" fillId="10" borderId="0" xfId="0" applyNumberFormat="1" applyFont="1" applyFill="1"/>
    <xf numFmtId="43" fontId="41" fillId="10" borderId="0" xfId="1" applyFont="1" applyFill="1" applyProtection="1"/>
    <xf numFmtId="169" fontId="41" fillId="10" borderId="0" xfId="1" applyNumberFormat="1" applyFont="1" applyFill="1" applyProtection="1"/>
    <xf numFmtId="164" fontId="42" fillId="10" borderId="0" xfId="10" applyNumberFormat="1" applyFont="1" applyFill="1" applyProtection="1"/>
    <xf numFmtId="0" fontId="81" fillId="0" borderId="0" xfId="0" applyFont="1" applyAlignment="1">
      <alignment wrapText="1"/>
    </xf>
    <xf numFmtId="0" fontId="81" fillId="0" borderId="0" xfId="0" applyFont="1"/>
    <xf numFmtId="0" fontId="68" fillId="21" borderId="0" xfId="0" applyFont="1" applyFill="1" applyAlignment="1">
      <alignment wrapText="1"/>
    </xf>
    <xf numFmtId="3" fontId="2" fillId="8" borderId="35" xfId="0" applyNumberFormat="1" applyFont="1" applyFill="1" applyBorder="1" applyProtection="1">
      <protection locked="0"/>
    </xf>
    <xf numFmtId="3" fontId="79" fillId="8" borderId="35" xfId="0" applyNumberFormat="1" applyFont="1" applyFill="1" applyBorder="1"/>
    <xf numFmtId="0" fontId="82" fillId="8" borderId="0" xfId="0" applyFont="1" applyFill="1"/>
    <xf numFmtId="3" fontId="83" fillId="8" borderId="35" xfId="0" applyNumberFormat="1" applyFont="1" applyFill="1" applyBorder="1"/>
    <xf numFmtId="3" fontId="84" fillId="0" borderId="1" xfId="7" applyNumberFormat="1" applyFont="1" applyBorder="1" applyAlignment="1">
      <alignment horizontal="left" wrapText="1" indent="2"/>
    </xf>
    <xf numFmtId="3" fontId="67" fillId="0" borderId="1" xfId="7" applyNumberFormat="1" applyFont="1" applyBorder="1" applyAlignment="1">
      <alignment horizontal="left" vertical="top" wrapText="1" indent="1"/>
    </xf>
    <xf numFmtId="0" fontId="6" fillId="0" borderId="0" xfId="5" applyFont="1" applyAlignment="1">
      <alignment horizontal="center"/>
    </xf>
    <xf numFmtId="0" fontId="5" fillId="0" borderId="0" xfId="0" applyFont="1" applyAlignment="1" applyProtection="1">
      <alignment horizontal="left" indent="1"/>
      <protection locked="0"/>
    </xf>
    <xf numFmtId="3" fontId="5" fillId="0" borderId="0" xfId="0" applyNumberFormat="1" applyFont="1" applyAlignment="1" applyProtection="1">
      <alignment horizontal="left" indent="1"/>
      <protection locked="0"/>
    </xf>
    <xf numFmtId="169" fontId="77" fillId="0" borderId="0" xfId="1" applyNumberFormat="1" applyFont="1" applyFill="1"/>
    <xf numFmtId="41" fontId="85" fillId="0" borderId="0" xfId="0" applyNumberFormat="1" applyFont="1" applyProtection="1">
      <protection locked="0"/>
    </xf>
    <xf numFmtId="41" fontId="86" fillId="0" borderId="0" xfId="0" applyNumberFormat="1" applyFont="1" applyProtection="1">
      <protection locked="0"/>
    </xf>
    <xf numFmtId="0" fontId="8" fillId="0" borderId="0" xfId="0" applyFont="1"/>
    <xf numFmtId="169" fontId="5" fillId="0" borderId="10" xfId="1" applyNumberFormat="1" applyFont="1" applyFill="1" applyBorder="1" applyProtection="1">
      <protection locked="0"/>
    </xf>
    <xf numFmtId="169" fontId="5" fillId="0" borderId="18" xfId="1" applyNumberFormat="1" applyFont="1" applyFill="1" applyBorder="1" applyProtection="1">
      <protection locked="0"/>
    </xf>
    <xf numFmtId="169" fontId="5" fillId="0" borderId="26" xfId="1" applyNumberFormat="1" applyFont="1" applyFill="1" applyBorder="1" applyProtection="1">
      <protection locked="0"/>
    </xf>
    <xf numFmtId="169" fontId="5" fillId="0" borderId="20" xfId="1" applyNumberFormat="1" applyFont="1" applyFill="1" applyBorder="1" applyProtection="1">
      <protection locked="0"/>
    </xf>
    <xf numFmtId="0" fontId="3" fillId="6" borderId="0" xfId="4" applyFill="1" applyAlignment="1" applyProtection="1"/>
    <xf numFmtId="0" fontId="58" fillId="8" borderId="41" xfId="8" applyFont="1" applyFill="1" applyBorder="1" applyAlignment="1">
      <alignment vertical="center" wrapText="1"/>
    </xf>
    <xf numFmtId="0" fontId="58" fillId="8" borderId="45" xfId="0" applyFont="1" applyFill="1" applyBorder="1" applyAlignment="1">
      <alignment vertical="center" wrapText="1"/>
    </xf>
    <xf numFmtId="0" fontId="5" fillId="10" borderId="50" xfId="0" applyFont="1" applyFill="1" applyBorder="1"/>
    <xf numFmtId="0" fontId="5" fillId="10" borderId="51" xfId="0" applyFont="1" applyFill="1" applyBorder="1" applyAlignment="1">
      <alignment horizontal="right"/>
    </xf>
    <xf numFmtId="0" fontId="5" fillId="10" borderId="53" xfId="0" applyFont="1" applyFill="1" applyBorder="1"/>
    <xf numFmtId="0" fontId="5" fillId="10" borderId="54" xfId="0" applyFont="1" applyFill="1" applyBorder="1" applyAlignment="1">
      <alignment horizontal="right"/>
    </xf>
    <xf numFmtId="0" fontId="5" fillId="10" borderId="55" xfId="0" applyFont="1" applyFill="1" applyBorder="1"/>
    <xf numFmtId="167" fontId="5" fillId="11" borderId="2" xfId="0" applyNumberFormat="1" applyFont="1" applyFill="1" applyBorder="1"/>
    <xf numFmtId="167" fontId="5" fillId="11" borderId="3" xfId="0" applyNumberFormat="1" applyFont="1" applyFill="1" applyBorder="1"/>
    <xf numFmtId="166" fontId="5" fillId="11" borderId="8" xfId="0" applyNumberFormat="1" applyFont="1" applyFill="1" applyBorder="1"/>
    <xf numFmtId="167" fontId="5" fillId="11" borderId="17" xfId="0" applyNumberFormat="1" applyFont="1" applyFill="1" applyBorder="1"/>
    <xf numFmtId="167" fontId="5" fillId="11" borderId="6" xfId="0" applyNumberFormat="1" applyFont="1" applyFill="1" applyBorder="1"/>
    <xf numFmtId="166" fontId="5" fillId="11" borderId="9" xfId="0" applyNumberFormat="1" applyFont="1" applyFill="1" applyBorder="1"/>
    <xf numFmtId="169" fontId="5" fillId="0" borderId="0" xfId="0" applyNumberFormat="1" applyFont="1" applyProtection="1">
      <protection locked="0"/>
    </xf>
    <xf numFmtId="0" fontId="87" fillId="0" borderId="0" xfId="5" applyFont="1"/>
    <xf numFmtId="0" fontId="47" fillId="8" borderId="56" xfId="8" applyFont="1" applyFill="1" applyBorder="1" applyAlignment="1">
      <alignment wrapText="1"/>
    </xf>
    <xf numFmtId="10" fontId="47" fillId="8" borderId="57" xfId="10" applyNumberFormat="1" applyFont="1" applyFill="1" applyBorder="1" applyAlignment="1">
      <alignment horizontal="left"/>
    </xf>
    <xf numFmtId="0" fontId="34" fillId="0" borderId="0" xfId="8" applyFont="1" applyAlignment="1">
      <alignment horizontal="right"/>
    </xf>
    <xf numFmtId="0" fontId="43" fillId="0" borderId="0" xfId="4" applyFont="1" applyAlignment="1" applyProtection="1"/>
    <xf numFmtId="173" fontId="5" fillId="0" borderId="0" xfId="5" applyNumberFormat="1" applyFont="1"/>
    <xf numFmtId="0" fontId="59" fillId="14" borderId="7" xfId="8" applyFont="1" applyFill="1" applyBorder="1" applyAlignment="1">
      <alignment horizontal="center" vertical="center" wrapText="1"/>
    </xf>
    <xf numFmtId="0" fontId="59" fillId="14" borderId="45" xfId="8" applyFont="1" applyFill="1" applyBorder="1" applyAlignment="1">
      <alignment horizontal="center" vertical="center" wrapText="1"/>
    </xf>
    <xf numFmtId="164" fontId="58" fillId="14" borderId="42" xfId="8" applyNumberFormat="1" applyFont="1" applyFill="1" applyBorder="1" applyAlignment="1">
      <alignment horizontal="center" vertical="center" wrapText="1"/>
    </xf>
    <xf numFmtId="0" fontId="59" fillId="14" borderId="41" xfId="8" applyFont="1" applyFill="1" applyBorder="1" applyAlignment="1">
      <alignment horizontal="center" vertical="center" wrapText="1"/>
    </xf>
    <xf numFmtId="10" fontId="58" fillId="14" borderId="58" xfId="10" applyNumberFormat="1" applyFont="1" applyFill="1" applyBorder="1" applyAlignment="1">
      <alignment horizontal="center" vertical="center" wrapText="1"/>
    </xf>
    <xf numFmtId="14" fontId="32" fillId="0" borderId="0" xfId="0" applyNumberFormat="1" applyFont="1" applyAlignment="1">
      <alignment horizontal="center"/>
    </xf>
    <xf numFmtId="0" fontId="0" fillId="0" borderId="0" xfId="0" applyAlignment="1">
      <alignment horizontal="center"/>
    </xf>
    <xf numFmtId="14" fontId="18" fillId="0" borderId="0" xfId="0" applyNumberFormat="1" applyFont="1"/>
    <xf numFmtId="0" fontId="89" fillId="0" borderId="0" xfId="0" applyFont="1" applyAlignment="1">
      <alignment vertical="center"/>
    </xf>
    <xf numFmtId="0" fontId="31" fillId="0" borderId="0" xfId="0" applyFont="1" applyAlignment="1">
      <alignment vertical="center"/>
    </xf>
    <xf numFmtId="0" fontId="89" fillId="0" borderId="0" xfId="5" applyFont="1"/>
    <xf numFmtId="0" fontId="90" fillId="0" borderId="0" xfId="5" applyFont="1"/>
    <xf numFmtId="0" fontId="1" fillId="0" borderId="0" xfId="0" applyFont="1"/>
    <xf numFmtId="0" fontId="59" fillId="0" borderId="7" xfId="8" applyFont="1" applyBorder="1" applyAlignment="1">
      <alignment horizontal="center" vertical="center" wrapText="1"/>
    </xf>
    <xf numFmtId="0" fontId="59" fillId="0" borderId="45" xfId="8" applyFont="1" applyBorder="1" applyAlignment="1">
      <alignment horizontal="center" vertical="center" wrapText="1"/>
    </xf>
    <xf numFmtId="164" fontId="58" fillId="8" borderId="59" xfId="8" applyNumberFormat="1" applyFont="1" applyFill="1" applyBorder="1" applyAlignment="1">
      <alignment horizontal="center" vertical="center" wrapText="1"/>
    </xf>
    <xf numFmtId="164" fontId="58" fillId="8" borderId="60" xfId="8" applyNumberFormat="1" applyFont="1" applyFill="1" applyBorder="1" applyAlignment="1">
      <alignment horizontal="center" vertical="center" wrapText="1"/>
    </xf>
    <xf numFmtId="164" fontId="58" fillId="0" borderId="59" xfId="8" applyNumberFormat="1" applyFont="1" applyBorder="1" applyAlignment="1">
      <alignment horizontal="center" vertical="center" wrapText="1"/>
    </xf>
    <xf numFmtId="164" fontId="58" fillId="0" borderId="60" xfId="8" applyNumberFormat="1" applyFont="1" applyBorder="1" applyAlignment="1">
      <alignment horizontal="center" vertical="center" wrapText="1"/>
    </xf>
    <xf numFmtId="164" fontId="58" fillId="0" borderId="61" xfId="8" applyNumberFormat="1" applyFont="1" applyBorder="1" applyAlignment="1">
      <alignment horizontal="center" vertical="center" wrapText="1"/>
    </xf>
    <xf numFmtId="164" fontId="58" fillId="0" borderId="62" xfId="8" applyNumberFormat="1" applyFont="1" applyBorder="1" applyAlignment="1">
      <alignment horizontal="center" vertical="center" wrapText="1"/>
    </xf>
    <xf numFmtId="167" fontId="5" fillId="11" borderId="4" xfId="0" applyNumberFormat="1" applyFont="1" applyFill="1" applyBorder="1"/>
    <xf numFmtId="167" fontId="5" fillId="11" borderId="0" xfId="0" applyNumberFormat="1" applyFont="1" applyFill="1"/>
    <xf numFmtId="166" fontId="5" fillId="11" borderId="5" xfId="0" applyNumberFormat="1" applyFont="1" applyFill="1" applyBorder="1"/>
    <xf numFmtId="172" fontId="2" fillId="0" borderId="32" xfId="2" applyNumberFormat="1" applyFont="1" applyFill="1" applyBorder="1"/>
    <xf numFmtId="172" fontId="2" fillId="0" borderId="1" xfId="2" applyNumberFormat="1" applyFont="1" applyFill="1" applyBorder="1"/>
    <xf numFmtId="0" fontId="6" fillId="10" borderId="51" xfId="0" applyFont="1" applyFill="1" applyBorder="1" applyAlignment="1">
      <alignment horizontal="center"/>
    </xf>
    <xf numFmtId="0" fontId="5" fillId="10" borderId="52" xfId="0" applyFont="1" applyFill="1" applyBorder="1" applyAlignment="1">
      <alignment horizontal="right"/>
    </xf>
    <xf numFmtId="14" fontId="6" fillId="0" borderId="0" xfId="0" applyNumberFormat="1" applyFont="1"/>
    <xf numFmtId="164" fontId="58" fillId="22" borderId="41" xfId="0" applyNumberFormat="1" applyFont="1" applyFill="1" applyBorder="1" applyAlignment="1">
      <alignment horizontal="center" vertical="center" wrapText="1"/>
    </xf>
    <xf numFmtId="164" fontId="58" fillId="22" borderId="43" xfId="0" applyNumberFormat="1" applyFont="1" applyFill="1" applyBorder="1" applyAlignment="1">
      <alignment horizontal="center" vertical="center" wrapText="1"/>
    </xf>
    <xf numFmtId="1" fontId="88" fillId="10" borderId="52" xfId="0" applyNumberFormat="1" applyFont="1" applyFill="1" applyBorder="1"/>
    <xf numFmtId="1" fontId="5" fillId="10" borderId="52" xfId="0" applyNumberFormat="1" applyFont="1" applyFill="1" applyBorder="1"/>
    <xf numFmtId="2" fontId="5" fillId="6" borderId="0" xfId="0" applyNumberFormat="1" applyFont="1" applyFill="1" applyAlignment="1" applyProtection="1">
      <alignment horizontal="center"/>
      <protection locked="0"/>
    </xf>
    <xf numFmtId="0" fontId="91" fillId="0" borderId="21" xfId="0" quotePrefix="1" applyFont="1" applyBorder="1" applyAlignment="1">
      <alignment horizontal="left" wrapText="1"/>
    </xf>
    <xf numFmtId="0" fontId="91" fillId="0" borderId="23" xfId="0" quotePrefix="1" applyFont="1" applyBorder="1" applyAlignment="1">
      <alignment horizontal="left" wrapText="1"/>
    </xf>
    <xf numFmtId="0" fontId="91" fillId="0" borderId="22" xfId="0" quotePrefix="1" applyFont="1" applyBorder="1" applyAlignment="1">
      <alignment horizontal="left" wrapText="1"/>
    </xf>
    <xf numFmtId="0" fontId="62" fillId="0" borderId="0" xfId="0" applyFont="1" applyAlignment="1">
      <alignment horizontal="left"/>
    </xf>
    <xf numFmtId="0" fontId="68" fillId="17" borderId="18" xfId="7" applyFont="1" applyFill="1" applyBorder="1" applyAlignment="1">
      <alignment horizontal="center" wrapText="1"/>
    </xf>
    <xf numFmtId="0" fontId="68" fillId="17" borderId="26" xfId="7" applyFont="1" applyFill="1" applyBorder="1" applyAlignment="1">
      <alignment horizontal="center" wrapText="1"/>
    </xf>
    <xf numFmtId="0" fontId="68" fillId="17" borderId="24" xfId="7" applyFont="1" applyFill="1" applyBorder="1" applyAlignment="1">
      <alignment horizontal="center" wrapText="1"/>
    </xf>
    <xf numFmtId="0" fontId="68" fillId="17" borderId="25" xfId="7" applyFont="1" applyFill="1" applyBorder="1" applyAlignment="1">
      <alignment horizontal="center" wrapText="1"/>
    </xf>
    <xf numFmtId="0" fontId="0" fillId="19" borderId="0" xfId="0" applyFill="1" applyAlignment="1">
      <alignment horizontal="center"/>
    </xf>
    <xf numFmtId="0" fontId="24" fillId="2" borderId="4" xfId="9" applyFont="1" applyFill="1" applyBorder="1" applyAlignment="1">
      <alignment horizontal="center"/>
    </xf>
    <xf numFmtId="0" fontId="24" fillId="2" borderId="0" xfId="9" applyFont="1" applyFill="1" applyAlignment="1">
      <alignment horizontal="center"/>
    </xf>
    <xf numFmtId="0" fontId="24" fillId="2" borderId="5" xfId="9" applyFont="1" applyFill="1" applyBorder="1" applyAlignment="1">
      <alignment horizontal="center"/>
    </xf>
    <xf numFmtId="0" fontId="24" fillId="2" borderId="11" xfId="9" applyFont="1" applyFill="1" applyBorder="1" applyAlignment="1">
      <alignment horizontal="center"/>
    </xf>
    <xf numFmtId="0" fontId="24" fillId="2" borderId="10" xfId="9" applyFont="1" applyFill="1" applyBorder="1" applyAlignment="1">
      <alignment horizontal="center"/>
    </xf>
    <xf numFmtId="0" fontId="24" fillId="2" borderId="12" xfId="9" applyFont="1" applyFill="1" applyBorder="1" applyAlignment="1">
      <alignment horizontal="center"/>
    </xf>
    <xf numFmtId="0" fontId="92" fillId="11" borderId="19" xfId="0" applyFont="1" applyFill="1" applyBorder="1" applyAlignment="1">
      <alignment horizontal="left"/>
    </xf>
    <xf numFmtId="0" fontId="92" fillId="11" borderId="14" xfId="0" applyFont="1" applyFill="1" applyBorder="1" applyAlignment="1">
      <alignment horizontal="left"/>
    </xf>
    <xf numFmtId="0" fontId="92" fillId="11" borderId="18" xfId="0" applyFont="1" applyFill="1" applyBorder="1" applyAlignment="1">
      <alignment horizontal="left"/>
    </xf>
    <xf numFmtId="0" fontId="6" fillId="9" borderId="1" xfId="0" applyFont="1" applyFill="1" applyBorder="1" applyAlignment="1">
      <alignment horizontal="left"/>
    </xf>
    <xf numFmtId="0" fontId="6" fillId="9" borderId="0" xfId="0" applyFont="1" applyFill="1" applyAlignment="1">
      <alignment horizontal="left"/>
    </xf>
    <xf numFmtId="0" fontId="6" fillId="6" borderId="27" xfId="0" applyFont="1" applyFill="1" applyBorder="1" applyAlignment="1">
      <alignment horizontal="left"/>
    </xf>
    <xf numFmtId="0" fontId="6" fillId="6" borderId="10" xfId="0" applyFont="1" applyFill="1" applyBorder="1" applyAlignment="1">
      <alignment horizontal="left"/>
    </xf>
    <xf numFmtId="0" fontId="59" fillId="0" borderId="7" xfId="8" applyFont="1" applyBorder="1" applyAlignment="1">
      <alignment horizontal="center" vertical="center"/>
    </xf>
    <xf numFmtId="0" fontId="59" fillId="0" borderId="45" xfId="8" applyFont="1" applyBorder="1" applyAlignment="1">
      <alignment horizontal="center" vertical="center"/>
    </xf>
    <xf numFmtId="0" fontId="60" fillId="0" borderId="0" xfId="8" applyFont="1" applyAlignment="1">
      <alignment horizontal="left" wrapText="1"/>
    </xf>
    <xf numFmtId="0" fontId="43" fillId="0" borderId="36" xfId="4" applyFont="1" applyBorder="1" applyAlignment="1" applyProtection="1">
      <alignment horizontal="center"/>
    </xf>
    <xf numFmtId="0" fontId="43" fillId="0" borderId="37" xfId="4" applyFont="1" applyBorder="1" applyAlignment="1" applyProtection="1">
      <alignment horizontal="center"/>
    </xf>
    <xf numFmtId="0" fontId="43" fillId="0" borderId="38" xfId="4" applyFont="1" applyBorder="1" applyAlignment="1" applyProtection="1">
      <alignment horizontal="center"/>
    </xf>
    <xf numFmtId="1" fontId="5" fillId="19" borderId="52" xfId="0" applyNumberFormat="1" applyFont="1" applyFill="1" applyBorder="1"/>
  </cellXfs>
  <cellStyles count="13">
    <cellStyle name="Comma" xfId="1" builtinId="3"/>
    <cellStyle name="Comma 2" xfId="2" xr:uid="{D9EE5E56-F66C-43C3-9611-955129C87235}"/>
    <cellStyle name="Currency 2" xfId="3" xr:uid="{AC3D7F76-18B7-4B8E-B62D-0D50D5BCEA95}"/>
    <cellStyle name="Hyperlink" xfId="4" builtinId="8"/>
    <cellStyle name="Normal" xfId="0" builtinId="0"/>
    <cellStyle name="Normal 2" xfId="5" xr:uid="{BB26FBA6-6E3F-4523-9062-6D6B7D08351C}"/>
    <cellStyle name="Normal 3" xfId="6" xr:uid="{9A8FFB87-4612-4E7D-B5EE-81E4FE77B205}"/>
    <cellStyle name="Normal 3 2" xfId="7" xr:uid="{B54D1EF0-7CA4-46DF-B054-4E8E09B591A4}"/>
    <cellStyle name="Normal 4" xfId="8" xr:uid="{33FBD053-70D7-43DC-AF39-C30501FFB59E}"/>
    <cellStyle name="Normal_person_months_conversion_chart-4" xfId="9" xr:uid="{5928F0BD-FE1E-42D7-B308-91ECC870492B}"/>
    <cellStyle name="Percent" xfId="10" builtinId="5"/>
    <cellStyle name="Percent 2" xfId="11" xr:uid="{29979644-F415-4330-9223-024BC05ED627}"/>
    <cellStyle name="Percent 6" xfId="12" xr:uid="{20817F20-BA7D-4336-B7F3-62C49CA3302B}"/>
  </cellStyles>
  <dxfs count="5">
    <dxf>
      <font>
        <color theme="1"/>
      </font>
    </dxf>
    <dxf>
      <font>
        <color theme="0" tint="-0.34998626667073579"/>
      </font>
    </dxf>
    <dxf>
      <font>
        <color theme="0" tint="-0.14996795556505021"/>
      </font>
    </dxf>
    <dxf>
      <font>
        <color theme="0" tint="-0.14996795556505021"/>
      </font>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grants.nih.gov/grants/guide/notice-files/NOT-OD-24-057.html" TargetMode="External"/><Relationship Id="rId1" Type="http://schemas.openxmlformats.org/officeDocument/2006/relationships/hyperlink" Target="https://research.uoregon.edu/apply/apply-external-funding/prepare/nih-salary-cap"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brp.uoregon.edu/content/Estimated-Rates-Future-Years" TargetMode="External"/><Relationship Id="rId1" Type="http://schemas.openxmlformats.org/officeDocument/2006/relationships/hyperlink" Target="https://brp.uoregon.edu/content/Blended-OP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652F8-2330-4575-9117-EEABC18281D3}">
  <sheetPr>
    <tabColor rgb="FF008000"/>
    <pageSetUpPr fitToPage="1"/>
  </sheetPr>
  <dimension ref="A1:AO217"/>
  <sheetViews>
    <sheetView tabSelected="1" zoomScaleNormal="100" workbookViewId="0">
      <pane ySplit="5" topLeftCell="A6" activePane="bottomLeft" state="frozen"/>
      <selection pane="bottomLeft"/>
    </sheetView>
  </sheetViews>
  <sheetFormatPr defaultColWidth="8.85546875" defaultRowHeight="12.75" x14ac:dyDescent="0.2"/>
  <cols>
    <col min="1" max="1" width="4.5703125" style="1" customWidth="1"/>
    <col min="2" max="2" width="28.140625" style="1" customWidth="1"/>
    <col min="3" max="3" width="17.5703125" style="1" customWidth="1"/>
    <col min="4" max="4" width="43" style="1" customWidth="1"/>
    <col min="5" max="5" width="9.7109375" style="1" customWidth="1"/>
    <col min="6" max="7" width="6.140625" style="1" customWidth="1"/>
    <col min="8" max="10" width="6.7109375" style="1" customWidth="1"/>
    <col min="11" max="11" width="7.5703125" style="1" customWidth="1"/>
    <col min="12" max="16" width="9.85546875" style="1" customWidth="1"/>
    <col min="17" max="17" width="11.140625" style="1" customWidth="1"/>
    <col min="18" max="18" width="17.140625" style="1" customWidth="1"/>
    <col min="19" max="19" width="9.85546875" style="1" customWidth="1"/>
    <col min="20" max="20" width="13.7109375" style="1" customWidth="1"/>
    <col min="21" max="21" width="14.7109375" style="1" customWidth="1"/>
    <col min="22" max="22" width="11.140625" style="1" customWidth="1"/>
    <col min="23" max="27" width="8" style="1" bestFit="1" customWidth="1"/>
    <col min="28" max="28" width="3.5703125" style="1" customWidth="1"/>
    <col min="29" max="29" width="3" style="1" customWidth="1"/>
    <col min="30" max="31" width="8.85546875" style="1"/>
    <col min="32" max="32" width="7" style="1" bestFit="1" customWidth="1"/>
    <col min="33" max="33" width="10.28515625" style="1" bestFit="1" customWidth="1"/>
    <col min="34" max="34" width="32.5703125" style="1" bestFit="1" customWidth="1"/>
    <col min="35" max="35" width="3.85546875" style="1" customWidth="1"/>
    <col min="36" max="36" width="2.85546875" style="1" customWidth="1"/>
    <col min="37" max="37" width="42.28515625" style="1" bestFit="1" customWidth="1"/>
    <col min="38" max="38" width="20.28515625" style="1" bestFit="1" customWidth="1"/>
    <col min="39" max="16384" width="8.85546875" style="1"/>
  </cols>
  <sheetData>
    <row r="1" spans="1:41" ht="20.25" x14ac:dyDescent="0.3">
      <c r="A1" s="162">
        <v>5</v>
      </c>
      <c r="B1" s="163" t="s">
        <v>92</v>
      </c>
      <c r="C1" s="163"/>
      <c r="D1" s="163"/>
      <c r="E1" s="164"/>
      <c r="F1" s="164"/>
      <c r="G1" s="164"/>
      <c r="H1" s="164"/>
      <c r="I1" s="164"/>
      <c r="J1" s="164"/>
      <c r="K1" s="164"/>
      <c r="L1" s="164"/>
      <c r="M1" s="164"/>
      <c r="N1" s="164"/>
      <c r="O1" s="164"/>
      <c r="P1" s="164"/>
      <c r="Q1" s="165"/>
      <c r="T1" s="1" t="s">
        <v>25</v>
      </c>
      <c r="AG1" s="1" t="s">
        <v>25</v>
      </c>
      <c r="AN1" s="1" t="s">
        <v>25</v>
      </c>
      <c r="AO1" s="1" t="s">
        <v>25</v>
      </c>
    </row>
    <row r="2" spans="1:41" ht="21" thickBot="1" x14ac:dyDescent="0.35">
      <c r="A2" s="166" t="s">
        <v>25</v>
      </c>
      <c r="B2" s="90"/>
      <c r="C2" s="90"/>
      <c r="D2" s="90"/>
      <c r="E2" s="167"/>
      <c r="F2" s="167"/>
      <c r="G2" s="167"/>
      <c r="H2" s="167"/>
      <c r="I2" s="167"/>
      <c r="J2" s="167"/>
      <c r="K2" s="167"/>
      <c r="L2" s="167"/>
      <c r="M2" s="167"/>
      <c r="N2" s="167"/>
      <c r="O2" s="167"/>
      <c r="P2" s="167"/>
      <c r="Q2" s="168"/>
    </row>
    <row r="3" spans="1:41" x14ac:dyDescent="0.2">
      <c r="A3" s="169"/>
      <c r="B3" s="90"/>
      <c r="C3" s="170" t="s">
        <v>26</v>
      </c>
      <c r="D3" s="371"/>
      <c r="E3" s="168" t="s">
        <v>25</v>
      </c>
      <c r="F3" s="168"/>
      <c r="G3" s="168"/>
      <c r="H3" s="168"/>
      <c r="I3" s="168"/>
      <c r="J3" s="168"/>
      <c r="K3" s="168"/>
      <c r="L3" s="168"/>
      <c r="M3" s="168"/>
      <c r="N3" s="168"/>
      <c r="O3" s="168"/>
      <c r="P3" s="168"/>
      <c r="Q3" s="168"/>
      <c r="R3" s="11" t="s">
        <v>129</v>
      </c>
    </row>
    <row r="4" spans="1:41" ht="13.5" thickBot="1" x14ac:dyDescent="0.25">
      <c r="A4" s="169"/>
      <c r="E4" s="169"/>
      <c r="F4" s="169"/>
      <c r="G4" s="169"/>
      <c r="H4" s="169"/>
      <c r="I4" s="169"/>
      <c r="J4" s="169"/>
      <c r="K4" s="169"/>
      <c r="L4" s="169"/>
      <c r="M4" s="169"/>
      <c r="N4" s="169"/>
      <c r="O4" s="169"/>
      <c r="P4" s="169"/>
      <c r="Q4" s="169"/>
      <c r="R4" s="346"/>
      <c r="T4" s="341"/>
    </row>
    <row r="5" spans="1:41" ht="13.5" thickBot="1" x14ac:dyDescent="0.25">
      <c r="A5" s="169"/>
      <c r="E5" s="171"/>
      <c r="F5" s="171"/>
      <c r="G5" s="171"/>
      <c r="H5" s="171"/>
      <c r="I5" s="171"/>
      <c r="J5" s="169"/>
      <c r="K5" s="169"/>
      <c r="L5" s="172" t="s">
        <v>1</v>
      </c>
      <c r="M5" s="172" t="s">
        <v>2</v>
      </c>
      <c r="N5" s="172" t="s">
        <v>3</v>
      </c>
      <c r="O5" s="172" t="s">
        <v>29</v>
      </c>
      <c r="P5" s="172" t="s">
        <v>30</v>
      </c>
      <c r="Q5" s="173" t="s">
        <v>4</v>
      </c>
      <c r="R5" s="333">
        <v>46279</v>
      </c>
      <c r="T5" s="3"/>
      <c r="U5" s="4"/>
      <c r="V5" s="4" t="str">
        <f>"AY "&amp;IF(MONTH(L6)&gt;3, MOD(YEAR(L6),100), MOD(YEAR(L6)-1,100))&amp;"-"&amp;IF(MONTH(L6)&gt;3, MOD(YEAR(L6)+1,100), MOD(YEAR(L6),100))</f>
        <v>AY 26-27</v>
      </c>
      <c r="W5" s="4" t="str">
        <f>"AY "&amp;IF(MONTH(L6)&gt;3, MOD(YEAR(L6)+1,100), MOD(YEAR(L6),100))&amp;"-"&amp;IF(MONTH(L6)&gt;3, MOD(YEAR(L6)+2,100), MOD(YEAR(L6)+1,100))</f>
        <v>AY 27-28</v>
      </c>
      <c r="X5" s="4" t="str">
        <f>"AY "&amp;IF(MONTH(L6)&gt;3, MOD(YEAR(L6)+2,100), MOD(YEAR(L6)+1,100))&amp;"-"&amp;IF(MONTH(L6)&gt;3, MOD(YEAR(L6)+3,100), MOD(YEAR(L6)+2,100))</f>
        <v>AY 28-29</v>
      </c>
      <c r="Y5" s="4" t="str">
        <f>"AY "&amp;IF(MONTH(L6)&gt;3, MOD(YEAR(L6)+3,100), MOD(YEAR(L6)+2,100))&amp;"-"&amp;IF(MONTH(L6)&gt;3, MOD(YEAR(L6)+4,100), MOD(YEAR(L6)+3,100))</f>
        <v>AY 29-30</v>
      </c>
      <c r="Z5" s="4" t="str">
        <f>"AY "&amp;IF(MONTH(L6)&gt;3, MOD(YEAR(L6)+4,100), MOD(YEAR(L6)+3,100))&amp;"-"&amp;IF(MONTH(L6)&gt;3, MOD(YEAR(L6)+5,100), MOD(YEAR(L6)+4,100))</f>
        <v>AY 30-31</v>
      </c>
      <c r="AA5" s="16" t="str">
        <f>"AY "&amp;IF(MONTH(M6)&gt;3, MOD(YEAR(M6)+4,100), MOD(YEAR(M6)+3,100))&amp;"-"&amp;IF(MONTH(M6)&gt;3, MOD(YEAR(M6)+5,100), MOD(YEAR(M6)+4,100))</f>
        <v>AY 31-32</v>
      </c>
      <c r="AD5" s="89" t="s">
        <v>91</v>
      </c>
      <c r="AE5" s="87" t="s">
        <v>87</v>
      </c>
      <c r="AF5" s="88"/>
      <c r="AG5" s="145" t="s">
        <v>138</v>
      </c>
    </row>
    <row r="6" spans="1:41" x14ac:dyDescent="0.2">
      <c r="A6" s="169"/>
      <c r="B6" s="169" t="s">
        <v>25</v>
      </c>
      <c r="C6" s="169"/>
      <c r="D6" s="169"/>
      <c r="E6" s="171"/>
      <c r="F6" s="171"/>
      <c r="G6" s="171"/>
      <c r="H6" s="171"/>
      <c r="I6" s="171"/>
      <c r="J6" s="169"/>
      <c r="K6" s="168" t="s">
        <v>54</v>
      </c>
      <c r="L6" s="309">
        <v>46204</v>
      </c>
      <c r="M6" s="174">
        <f>L7+1</f>
        <v>46569</v>
      </c>
      <c r="N6" s="174">
        <f>M7+1</f>
        <v>46935</v>
      </c>
      <c r="O6" s="174">
        <f>N7+1</f>
        <v>47300</v>
      </c>
      <c r="P6" s="174">
        <f>O7+1</f>
        <v>47665</v>
      </c>
      <c r="Q6" s="175"/>
      <c r="R6" s="90" t="s">
        <v>50</v>
      </c>
      <c r="T6" s="5"/>
      <c r="AA6" s="6"/>
      <c r="AD6" s="478"/>
      <c r="AE6" s="522" t="s">
        <v>86</v>
      </c>
      <c r="AF6" s="523" t="s">
        <v>402</v>
      </c>
      <c r="AG6" s="145" t="s">
        <v>138</v>
      </c>
      <c r="AH6" s="152" t="s">
        <v>145</v>
      </c>
      <c r="AI6" s="276">
        <v>0</v>
      </c>
      <c r="AK6" s="289" t="s">
        <v>157</v>
      </c>
    </row>
    <row r="7" spans="1:41" x14ac:dyDescent="0.2">
      <c r="A7" s="169"/>
      <c r="B7" s="171" t="s">
        <v>226</v>
      </c>
      <c r="C7" s="171"/>
      <c r="D7" s="171"/>
      <c r="E7" s="171" t="s">
        <v>25</v>
      </c>
      <c r="F7" s="171"/>
      <c r="G7" s="171"/>
      <c r="H7" s="171"/>
      <c r="I7" s="171"/>
      <c r="J7" s="169"/>
      <c r="K7" s="168" t="s">
        <v>55</v>
      </c>
      <c r="L7" s="174">
        <v>46568</v>
      </c>
      <c r="M7" s="174">
        <f>DATE(YEAR(L7)+1,MONTH(L7),DAY(L7))</f>
        <v>46934</v>
      </c>
      <c r="N7" s="174">
        <f>DATE(YEAR(M7)+1,MONTH(M7),DAY(M7))</f>
        <v>47299</v>
      </c>
      <c r="O7" s="174">
        <f>DATE(YEAR(N7)+1,MONTH(N7),DAY(N7))</f>
        <v>47664</v>
      </c>
      <c r="P7" s="174">
        <f>DATE(YEAR(O7)+1,MONTH(O7),DAY(O7))</f>
        <v>48029</v>
      </c>
      <c r="Q7" s="175"/>
      <c r="R7" s="90" t="s">
        <v>51</v>
      </c>
      <c r="T7" s="5" t="s">
        <v>154</v>
      </c>
      <c r="U7" s="1" t="s">
        <v>175</v>
      </c>
      <c r="V7" s="1">
        <f t="shared" ref="V7:V12" si="0">ROUND(AF7*POWER(AG7,RIGHT($V$5,2)-RIGHT($AF$6,2)),0)</f>
        <v>945</v>
      </c>
      <c r="W7" s="1">
        <f t="shared" ref="W7:W12" si="1">IF($R$8="N",V7,ROUND(V7*AG7,0))</f>
        <v>973</v>
      </c>
      <c r="X7" s="1">
        <f t="shared" ref="X7:X12" si="2">IF($R$8="N",W7,ROUND(W7*AG7,0))</f>
        <v>1002</v>
      </c>
      <c r="Y7" s="1">
        <f t="shared" ref="Y7:Y12" si="3">IF($R$8="N",X7,ROUND(X7*AG7,0))</f>
        <v>1031</v>
      </c>
      <c r="Z7" s="1">
        <f t="shared" ref="Z7:Z12" si="4">IF($R$8="N",Y7,ROUND(Y7*AG7,0))</f>
        <v>1061</v>
      </c>
      <c r="AA7" s="6">
        <f t="shared" ref="AA7:AA12" si="5">IF($R$8="N",Z7,ROUND(Z7*AG7,0))</f>
        <v>1092</v>
      </c>
      <c r="AD7" s="478"/>
      <c r="AE7" s="479" t="s">
        <v>151</v>
      </c>
      <c r="AF7" s="527">
        <v>945</v>
      </c>
      <c r="AG7" s="311">
        <v>1.0294000000000001</v>
      </c>
      <c r="AH7" s="152" t="s">
        <v>139</v>
      </c>
      <c r="AI7" s="1">
        <v>3</v>
      </c>
      <c r="AK7" s="1" t="s">
        <v>185</v>
      </c>
      <c r="AL7" s="289" t="s">
        <v>165</v>
      </c>
    </row>
    <row r="8" spans="1:41" x14ac:dyDescent="0.2">
      <c r="A8" s="169"/>
      <c r="B8" s="171" t="s">
        <v>7</v>
      </c>
      <c r="C8" s="171"/>
      <c r="D8" s="171"/>
      <c r="E8" s="171"/>
      <c r="F8" s="171"/>
      <c r="G8" s="171"/>
      <c r="H8" s="171"/>
      <c r="I8" s="171"/>
      <c r="J8" s="169"/>
      <c r="K8" s="169"/>
      <c r="L8" s="280"/>
      <c r="M8" s="280"/>
      <c r="N8" s="280"/>
      <c r="O8" s="280"/>
      <c r="P8" s="280"/>
      <c r="Q8" s="175"/>
      <c r="R8" s="90" t="s">
        <v>52</v>
      </c>
      <c r="T8" s="5" t="s">
        <v>155</v>
      </c>
      <c r="U8" s="1" t="s">
        <v>175</v>
      </c>
      <c r="V8" s="1">
        <f t="shared" si="0"/>
        <v>799</v>
      </c>
      <c r="W8" s="1">
        <f t="shared" si="1"/>
        <v>823</v>
      </c>
      <c r="X8" s="1">
        <f t="shared" si="2"/>
        <v>848</v>
      </c>
      <c r="Y8" s="1">
        <f t="shared" si="3"/>
        <v>873</v>
      </c>
      <c r="Z8" s="1">
        <f t="shared" si="4"/>
        <v>899</v>
      </c>
      <c r="AA8" s="6">
        <f t="shared" si="5"/>
        <v>926</v>
      </c>
      <c r="AD8" s="478"/>
      <c r="AE8" s="479" t="s">
        <v>152</v>
      </c>
      <c r="AF8" s="527">
        <v>799.38</v>
      </c>
      <c r="AG8" s="311">
        <v>1.0298</v>
      </c>
      <c r="AH8" s="152" t="s">
        <v>140</v>
      </c>
      <c r="AI8" s="1">
        <v>4</v>
      </c>
      <c r="AK8" s="1" t="s">
        <v>194</v>
      </c>
      <c r="AL8" s="289" t="s">
        <v>166</v>
      </c>
    </row>
    <row r="9" spans="1:41" x14ac:dyDescent="0.2">
      <c r="A9" s="169"/>
      <c r="B9" s="171" t="s">
        <v>0</v>
      </c>
      <c r="C9" s="171"/>
      <c r="D9" s="171"/>
      <c r="E9" s="171"/>
      <c r="F9" s="171"/>
      <c r="G9" s="171"/>
      <c r="H9" s="171"/>
      <c r="I9" s="171"/>
      <c r="J9" s="169"/>
      <c r="K9" s="169"/>
      <c r="L9" s="169"/>
      <c r="M9" s="169"/>
      <c r="N9" s="169"/>
      <c r="O9" s="169"/>
      <c r="P9" s="169"/>
      <c r="Q9" s="175"/>
      <c r="R9" s="1" t="s">
        <v>131</v>
      </c>
      <c r="S9" s="20" t="s">
        <v>224</v>
      </c>
      <c r="T9" s="5" t="s">
        <v>154</v>
      </c>
      <c r="U9" s="1" t="s">
        <v>176</v>
      </c>
      <c r="V9" s="1">
        <f t="shared" si="0"/>
        <v>2775</v>
      </c>
      <c r="W9" s="1">
        <f t="shared" si="1"/>
        <v>2919</v>
      </c>
      <c r="X9" s="1">
        <f t="shared" si="2"/>
        <v>3071</v>
      </c>
      <c r="Y9" s="1">
        <f t="shared" si="3"/>
        <v>3231</v>
      </c>
      <c r="Z9" s="1">
        <f t="shared" si="4"/>
        <v>3399</v>
      </c>
      <c r="AA9" s="6">
        <f t="shared" si="5"/>
        <v>3576</v>
      </c>
      <c r="AD9" s="478"/>
      <c r="AE9" s="479" t="s">
        <v>222</v>
      </c>
      <c r="AF9" s="558">
        <v>2775</v>
      </c>
      <c r="AG9" s="311">
        <v>1.052</v>
      </c>
      <c r="AH9" s="152" t="s">
        <v>141</v>
      </c>
      <c r="AI9" s="1">
        <v>5</v>
      </c>
      <c r="AK9" s="1" t="s">
        <v>193</v>
      </c>
      <c r="AL9" s="289" t="s">
        <v>167</v>
      </c>
    </row>
    <row r="10" spans="1:41" ht="14.25" x14ac:dyDescent="0.2">
      <c r="A10" s="169"/>
      <c r="B10" s="176" t="s">
        <v>31</v>
      </c>
      <c r="C10" s="176"/>
      <c r="D10" s="176"/>
      <c r="E10" s="171"/>
      <c r="F10" s="171"/>
      <c r="G10" s="171"/>
      <c r="H10" s="171"/>
      <c r="I10" s="171"/>
      <c r="J10" s="169"/>
      <c r="K10" s="169"/>
      <c r="L10" s="169"/>
      <c r="M10" s="169"/>
      <c r="N10" s="169"/>
      <c r="O10" s="169"/>
      <c r="P10" s="169"/>
      <c r="Q10" s="175"/>
      <c r="R10" s="1" t="s">
        <v>132</v>
      </c>
      <c r="S10" s="20" t="s">
        <v>224</v>
      </c>
      <c r="T10" s="5" t="s">
        <v>156</v>
      </c>
      <c r="U10" s="1" t="s">
        <v>176</v>
      </c>
      <c r="V10" s="1">
        <f t="shared" si="0"/>
        <v>2355</v>
      </c>
      <c r="W10" s="1">
        <f t="shared" si="1"/>
        <v>2532</v>
      </c>
      <c r="X10" s="1">
        <f t="shared" si="2"/>
        <v>2722</v>
      </c>
      <c r="Y10" s="1">
        <f t="shared" si="3"/>
        <v>2926</v>
      </c>
      <c r="Z10" s="1">
        <f t="shared" si="4"/>
        <v>3145</v>
      </c>
      <c r="AA10" s="6">
        <f t="shared" si="5"/>
        <v>3381</v>
      </c>
      <c r="AD10" s="478"/>
      <c r="AE10" s="479" t="s">
        <v>153</v>
      </c>
      <c r="AF10" s="528">
        <v>2355</v>
      </c>
      <c r="AG10" s="311">
        <v>1.075</v>
      </c>
      <c r="AH10" s="285" t="s">
        <v>142</v>
      </c>
      <c r="AI10" s="1">
        <v>6</v>
      </c>
      <c r="AK10" s="1" t="s">
        <v>161</v>
      </c>
      <c r="AL10" s="289" t="s">
        <v>168</v>
      </c>
    </row>
    <row r="11" spans="1:41" ht="38.25" x14ac:dyDescent="0.2">
      <c r="A11" s="169"/>
      <c r="B11" s="171" t="s">
        <v>32</v>
      </c>
      <c r="D11" s="177"/>
      <c r="E11" s="177" t="s">
        <v>41</v>
      </c>
      <c r="F11" s="169" t="s">
        <v>35</v>
      </c>
      <c r="G11" s="169" t="s">
        <v>36</v>
      </c>
      <c r="H11" s="169" t="s">
        <v>37</v>
      </c>
      <c r="I11" s="169" t="s">
        <v>38</v>
      </c>
      <c r="J11" s="169" t="s">
        <v>39</v>
      </c>
      <c r="K11" s="169"/>
      <c r="L11" s="169"/>
      <c r="M11" s="169"/>
      <c r="N11" s="169"/>
      <c r="O11" s="169"/>
      <c r="P11" s="169"/>
      <c r="Q11" s="175"/>
      <c r="T11" s="5" t="s">
        <v>24</v>
      </c>
      <c r="U11" s="1" t="s">
        <v>14</v>
      </c>
      <c r="V11" s="1">
        <f t="shared" si="0"/>
        <v>5841</v>
      </c>
      <c r="W11" s="1">
        <f t="shared" si="1"/>
        <v>5999</v>
      </c>
      <c r="X11" s="1">
        <f t="shared" si="2"/>
        <v>6161</v>
      </c>
      <c r="Y11" s="1">
        <f t="shared" si="3"/>
        <v>6327</v>
      </c>
      <c r="Z11" s="1">
        <f t="shared" si="4"/>
        <v>6498</v>
      </c>
      <c r="AA11" s="6">
        <f t="shared" si="5"/>
        <v>6673</v>
      </c>
      <c r="AD11" s="478"/>
      <c r="AE11" s="479" t="s">
        <v>85</v>
      </c>
      <c r="AF11" s="527">
        <v>5841</v>
      </c>
      <c r="AG11" s="311">
        <v>1.0269999999999999</v>
      </c>
      <c r="AH11" s="152" t="s">
        <v>143</v>
      </c>
      <c r="AI11" s="1">
        <v>7</v>
      </c>
      <c r="AK11" s="1" t="s">
        <v>162</v>
      </c>
      <c r="AL11" s="289" t="s">
        <v>169</v>
      </c>
      <c r="AN11" s="386" t="s">
        <v>236</v>
      </c>
    </row>
    <row r="12" spans="1:41" x14ac:dyDescent="0.2">
      <c r="A12" s="169"/>
      <c r="B12" s="171" t="s">
        <v>34</v>
      </c>
      <c r="C12" s="172" t="s">
        <v>230</v>
      </c>
      <c r="D12" s="282" t="s">
        <v>150</v>
      </c>
      <c r="E12" s="178" t="s">
        <v>40</v>
      </c>
      <c r="F12" s="179" t="s">
        <v>225</v>
      </c>
      <c r="G12" s="179" t="s">
        <v>225</v>
      </c>
      <c r="H12" s="179" t="s">
        <v>225</v>
      </c>
      <c r="I12" s="179" t="s">
        <v>225</v>
      </c>
      <c r="J12" s="179" t="s">
        <v>225</v>
      </c>
      <c r="K12" s="179"/>
      <c r="L12" s="180"/>
      <c r="M12" s="180"/>
      <c r="N12" s="180"/>
      <c r="O12" s="180"/>
      <c r="P12" s="180"/>
      <c r="Q12" s="181"/>
      <c r="R12" s="1" t="s">
        <v>25</v>
      </c>
      <c r="T12" s="5" t="s">
        <v>45</v>
      </c>
      <c r="U12" s="1" t="s">
        <v>14</v>
      </c>
      <c r="V12" s="1">
        <f t="shared" si="0"/>
        <v>10863</v>
      </c>
      <c r="W12" s="1">
        <f t="shared" si="1"/>
        <v>11156</v>
      </c>
      <c r="X12" s="1">
        <f t="shared" si="2"/>
        <v>11457</v>
      </c>
      <c r="Y12" s="1">
        <f t="shared" si="3"/>
        <v>11766</v>
      </c>
      <c r="Z12" s="1">
        <f t="shared" si="4"/>
        <v>12084</v>
      </c>
      <c r="AA12" s="6">
        <f t="shared" si="5"/>
        <v>12410</v>
      </c>
      <c r="AD12" s="478"/>
      <c r="AE12" s="479" t="s">
        <v>84</v>
      </c>
      <c r="AF12" s="527">
        <v>10863</v>
      </c>
      <c r="AG12" s="311">
        <v>1.0269999999999999</v>
      </c>
      <c r="AH12" s="152" t="s">
        <v>144</v>
      </c>
      <c r="AI12" s="1">
        <v>8</v>
      </c>
      <c r="AK12" s="1" t="s">
        <v>163</v>
      </c>
      <c r="AL12" s="289" t="s">
        <v>170</v>
      </c>
      <c r="AN12" s="348" t="s">
        <v>233</v>
      </c>
    </row>
    <row r="13" spans="1:41" ht="13.15" customHeight="1" thickBot="1" x14ac:dyDescent="0.25">
      <c r="A13" s="169"/>
      <c r="B13" s="180"/>
      <c r="C13" s="169" t="s">
        <v>236</v>
      </c>
      <c r="D13" s="90" t="s">
        <v>185</v>
      </c>
      <c r="E13" s="182"/>
      <c r="F13" s="183"/>
      <c r="G13" s="183"/>
      <c r="H13" s="183"/>
      <c r="I13" s="183"/>
      <c r="J13" s="183"/>
      <c r="K13" s="183"/>
      <c r="L13" s="184">
        <f>ROUND(E13*F13,0)</f>
        <v>0</v>
      </c>
      <c r="M13" s="184">
        <f>IF($A$1&gt;1,ROUND(E13*G13*$V$15,0),0)</f>
        <v>0</v>
      </c>
      <c r="N13" s="184">
        <f t="shared" ref="N13:N27" si="6">IF($A$1&gt;2,ROUND(E13*H13*$V$15^2,0),0)</f>
        <v>0</v>
      </c>
      <c r="O13" s="184">
        <f t="shared" ref="O13:O27" si="7">IF($A$1&gt;3,ROUND(E13*I13*$V$15^3,0),0)</f>
        <v>0</v>
      </c>
      <c r="P13" s="184">
        <f t="shared" ref="P13:P27" si="8">IF($A$1&gt;4,ROUND(E13*J13*$V$15^4,0),0)</f>
        <v>0</v>
      </c>
      <c r="Q13" s="185">
        <f>SUM(L13:P13)</f>
        <v>0</v>
      </c>
      <c r="T13" s="5" t="s">
        <v>46</v>
      </c>
      <c r="U13" s="1" t="s">
        <v>14</v>
      </c>
      <c r="V13" s="1">
        <v>0</v>
      </c>
      <c r="W13" s="8">
        <f>ROUND(V13*AG13,0)</f>
        <v>0</v>
      </c>
      <c r="X13" s="8">
        <f>ROUND(W13*AG13,0)</f>
        <v>0</v>
      </c>
      <c r="Y13" s="8">
        <f>ROUND(X13*AG13,0)</f>
        <v>0</v>
      </c>
      <c r="Z13" s="8">
        <f>ROUND(Y13*AG13,0)</f>
        <v>0</v>
      </c>
      <c r="AA13" s="17">
        <f>ROUND(Z13*AG13,0)</f>
        <v>0</v>
      </c>
      <c r="AD13" s="480"/>
      <c r="AE13" s="481" t="s">
        <v>14</v>
      </c>
      <c r="AF13" s="482">
        <v>0</v>
      </c>
      <c r="AG13" s="311">
        <v>1.0269999999999999</v>
      </c>
      <c r="AH13" s="152" t="s">
        <v>401</v>
      </c>
      <c r="AI13" s="1">
        <v>9</v>
      </c>
      <c r="AK13" s="1" t="s">
        <v>196</v>
      </c>
      <c r="AL13" s="289" t="s">
        <v>196</v>
      </c>
      <c r="AN13" s="348" t="s">
        <v>234</v>
      </c>
    </row>
    <row r="14" spans="1:41" x14ac:dyDescent="0.2">
      <c r="A14" s="169"/>
      <c r="B14" s="180"/>
      <c r="C14" s="169"/>
      <c r="D14" s="90" t="s">
        <v>157</v>
      </c>
      <c r="E14" s="182"/>
      <c r="F14" s="183"/>
      <c r="G14" s="183"/>
      <c r="H14" s="183"/>
      <c r="I14" s="183"/>
      <c r="J14" s="183"/>
      <c r="K14" s="183"/>
      <c r="L14" s="184">
        <f t="shared" ref="L14:L22" si="9">ROUND(E14*F14,0)</f>
        <v>0</v>
      </c>
      <c r="M14" s="184">
        <f t="shared" ref="M14:M27" si="10">IF($A$1&gt;1,ROUND(E14*G14*$V$15,0),0)</f>
        <v>0</v>
      </c>
      <c r="N14" s="184">
        <f t="shared" si="6"/>
        <v>0</v>
      </c>
      <c r="O14" s="184">
        <f t="shared" si="7"/>
        <v>0</v>
      </c>
      <c r="P14" s="184">
        <f t="shared" si="8"/>
        <v>0</v>
      </c>
      <c r="Q14" s="185">
        <f t="shared" ref="Q14:Q23" si="11">SUM(L14:P14)</f>
        <v>0</v>
      </c>
      <c r="R14" s="86"/>
      <c r="T14" s="483" t="s">
        <v>174</v>
      </c>
      <c r="U14" s="484"/>
      <c r="V14" s="485">
        <f>IF($S$9="Y",1.04,1)</f>
        <v>1.04</v>
      </c>
      <c r="AK14" s="1" t="s">
        <v>192</v>
      </c>
      <c r="AL14" s="289" t="s">
        <v>192</v>
      </c>
    </row>
    <row r="15" spans="1:41" ht="15" x14ac:dyDescent="0.25">
      <c r="A15" s="169"/>
      <c r="B15" s="180"/>
      <c r="C15" s="169"/>
      <c r="D15" s="90" t="s">
        <v>157</v>
      </c>
      <c r="E15" s="182"/>
      <c r="F15" s="183"/>
      <c r="G15" s="183"/>
      <c r="H15" s="183"/>
      <c r="I15" s="183"/>
      <c r="J15" s="183"/>
      <c r="K15" s="183"/>
      <c r="L15" s="184">
        <f t="shared" si="9"/>
        <v>0</v>
      </c>
      <c r="M15" s="184">
        <f t="shared" si="10"/>
        <v>0</v>
      </c>
      <c r="N15" s="184">
        <f t="shared" si="6"/>
        <v>0</v>
      </c>
      <c r="O15" s="184">
        <f t="shared" si="7"/>
        <v>0</v>
      </c>
      <c r="P15" s="184">
        <f t="shared" si="8"/>
        <v>0</v>
      </c>
      <c r="Q15" s="185">
        <f>SUM(L15:P15)</f>
        <v>0</v>
      </c>
      <c r="R15" s="293"/>
      <c r="T15" s="517" t="s">
        <v>79</v>
      </c>
      <c r="U15" s="518"/>
      <c r="V15" s="519">
        <f>IF($S$9="Y",1.03,1)</f>
        <v>1.03</v>
      </c>
      <c r="AC15" s="312"/>
      <c r="AD15" s="312"/>
      <c r="AE15" s="341"/>
      <c r="AF15" s="312"/>
      <c r="AG15" s="312"/>
      <c r="AH15" s="312"/>
      <c r="AI15" s="310"/>
      <c r="AJ15" s="310"/>
      <c r="AK15" s="1" t="s">
        <v>160</v>
      </c>
      <c r="AL15" s="289" t="s">
        <v>167</v>
      </c>
    </row>
    <row r="16" spans="1:41" ht="13.5" thickBot="1" x14ac:dyDescent="0.25">
      <c r="A16" s="169"/>
      <c r="B16" s="180"/>
      <c r="C16" s="169"/>
      <c r="D16" s="90" t="s">
        <v>157</v>
      </c>
      <c r="E16" s="182"/>
      <c r="F16" s="183"/>
      <c r="G16" s="183"/>
      <c r="H16" s="183"/>
      <c r="I16" s="183"/>
      <c r="J16" s="183"/>
      <c r="K16" s="183"/>
      <c r="L16" s="184">
        <f t="shared" si="9"/>
        <v>0</v>
      </c>
      <c r="M16" s="184">
        <f t="shared" si="10"/>
        <v>0</v>
      </c>
      <c r="N16" s="184">
        <f t="shared" si="6"/>
        <v>0</v>
      </c>
      <c r="O16" s="184">
        <f t="shared" si="7"/>
        <v>0</v>
      </c>
      <c r="P16" s="184">
        <f t="shared" si="8"/>
        <v>0</v>
      </c>
      <c r="Q16" s="186">
        <f t="shared" si="11"/>
        <v>0</v>
      </c>
      <c r="R16" s="293"/>
      <c r="T16" s="486" t="s">
        <v>80</v>
      </c>
      <c r="U16" s="487"/>
      <c r="V16" s="488">
        <f>IF($S$10="Y",1.037,1)</f>
        <v>1.0369999999999999</v>
      </c>
      <c r="X16" s="1" t="s">
        <v>25</v>
      </c>
    </row>
    <row r="17" spans="1:35" ht="14.25" customHeight="1" x14ac:dyDescent="0.2">
      <c r="A17" s="169"/>
      <c r="B17" s="180"/>
      <c r="C17" s="169"/>
      <c r="D17" s="90" t="s">
        <v>157</v>
      </c>
      <c r="E17" s="182"/>
      <c r="F17" s="183"/>
      <c r="G17" s="183"/>
      <c r="H17" s="183"/>
      <c r="I17" s="183"/>
      <c r="J17" s="183"/>
      <c r="K17" s="183"/>
      <c r="L17" s="184">
        <f t="shared" si="9"/>
        <v>0</v>
      </c>
      <c r="M17" s="184">
        <f t="shared" si="10"/>
        <v>0</v>
      </c>
      <c r="N17" s="184">
        <f t="shared" si="6"/>
        <v>0</v>
      </c>
      <c r="O17" s="184">
        <f t="shared" si="7"/>
        <v>0</v>
      </c>
      <c r="P17" s="184">
        <f t="shared" si="8"/>
        <v>0</v>
      </c>
      <c r="Q17" s="186">
        <f t="shared" si="11"/>
        <v>0</v>
      </c>
      <c r="R17" s="293"/>
      <c r="T17" s="341"/>
      <c r="U17" s="4"/>
      <c r="V17" s="302"/>
    </row>
    <row r="18" spans="1:35" x14ac:dyDescent="0.2">
      <c r="A18" s="169"/>
      <c r="B18" s="180"/>
      <c r="C18" s="169"/>
      <c r="D18" s="90" t="s">
        <v>157</v>
      </c>
      <c r="E18" s="182"/>
      <c r="F18" s="183"/>
      <c r="G18" s="183"/>
      <c r="H18" s="183"/>
      <c r="I18" s="183"/>
      <c r="J18" s="183"/>
      <c r="K18" s="183"/>
      <c r="L18" s="184">
        <f t="shared" si="9"/>
        <v>0</v>
      </c>
      <c r="M18" s="184">
        <f t="shared" si="10"/>
        <v>0</v>
      </c>
      <c r="N18" s="184">
        <f t="shared" si="6"/>
        <v>0</v>
      </c>
      <c r="O18" s="184">
        <f t="shared" si="7"/>
        <v>0</v>
      </c>
      <c r="P18" s="184">
        <f t="shared" si="8"/>
        <v>0</v>
      </c>
      <c r="Q18" s="186">
        <f t="shared" si="11"/>
        <v>0</v>
      </c>
      <c r="R18" s="293"/>
      <c r="T18" s="90"/>
      <c r="U18" s="347" t="s">
        <v>378</v>
      </c>
      <c r="V18" s="387"/>
      <c r="AI18" s="1" t="s">
        <v>25</v>
      </c>
    </row>
    <row r="19" spans="1:35" x14ac:dyDescent="0.2">
      <c r="A19" s="169"/>
      <c r="B19" s="180"/>
      <c r="C19" s="169"/>
      <c r="D19" s="90" t="s">
        <v>157</v>
      </c>
      <c r="E19" s="182"/>
      <c r="F19" s="183"/>
      <c r="G19" s="183"/>
      <c r="H19" s="183"/>
      <c r="I19" s="183"/>
      <c r="J19" s="183"/>
      <c r="K19" s="183"/>
      <c r="L19" s="184">
        <f t="shared" si="9"/>
        <v>0</v>
      </c>
      <c r="M19" s="184">
        <f t="shared" si="10"/>
        <v>0</v>
      </c>
      <c r="N19" s="184">
        <f t="shared" si="6"/>
        <v>0</v>
      </c>
      <c r="O19" s="184">
        <f t="shared" si="7"/>
        <v>0</v>
      </c>
      <c r="P19" s="184">
        <f t="shared" si="8"/>
        <v>0</v>
      </c>
      <c r="Q19" s="186">
        <f t="shared" si="11"/>
        <v>0</v>
      </c>
      <c r="R19" s="293"/>
      <c r="T19" s="90"/>
      <c r="U19" s="347" t="s">
        <v>379</v>
      </c>
      <c r="V19" s="387">
        <f>Q194</f>
        <v>0</v>
      </c>
    </row>
    <row r="20" spans="1:35" x14ac:dyDescent="0.2">
      <c r="A20" s="169"/>
      <c r="B20" s="180"/>
      <c r="C20" s="169"/>
      <c r="D20" s="90" t="s">
        <v>157</v>
      </c>
      <c r="E20" s="182"/>
      <c r="F20" s="183"/>
      <c r="G20" s="183"/>
      <c r="H20" s="183"/>
      <c r="I20" s="183"/>
      <c r="J20" s="183"/>
      <c r="K20" s="183"/>
      <c r="L20" s="184">
        <f t="shared" si="9"/>
        <v>0</v>
      </c>
      <c r="M20" s="184">
        <f t="shared" si="10"/>
        <v>0</v>
      </c>
      <c r="N20" s="184">
        <f>IF($A$1&gt;2,ROUND(E20*H20*$V$15^2,0),0)</f>
        <v>0</v>
      </c>
      <c r="O20" s="184">
        <f t="shared" si="7"/>
        <v>0</v>
      </c>
      <c r="P20" s="184">
        <f t="shared" si="8"/>
        <v>0</v>
      </c>
      <c r="Q20" s="186">
        <f t="shared" si="11"/>
        <v>0</v>
      </c>
      <c r="T20" s="90"/>
      <c r="U20" s="347" t="s">
        <v>232</v>
      </c>
      <c r="V20" s="388">
        <f>V18-Q194</f>
        <v>0</v>
      </c>
    </row>
    <row r="21" spans="1:35" x14ac:dyDescent="0.2">
      <c r="A21" s="169"/>
      <c r="B21" s="180"/>
      <c r="C21" s="169"/>
      <c r="D21" s="90" t="s">
        <v>157</v>
      </c>
      <c r="E21" s="182"/>
      <c r="F21" s="183"/>
      <c r="G21" s="183"/>
      <c r="H21" s="183"/>
      <c r="I21" s="183"/>
      <c r="J21" s="183"/>
      <c r="K21" s="183"/>
      <c r="L21" s="184">
        <f t="shared" si="9"/>
        <v>0</v>
      </c>
      <c r="M21" s="184">
        <f t="shared" si="10"/>
        <v>0</v>
      </c>
      <c r="N21" s="184">
        <f t="shared" si="6"/>
        <v>0</v>
      </c>
      <c r="O21" s="184">
        <f t="shared" si="7"/>
        <v>0</v>
      </c>
      <c r="P21" s="184">
        <f t="shared" si="8"/>
        <v>0</v>
      </c>
      <c r="Q21" s="186">
        <f t="shared" si="11"/>
        <v>0</v>
      </c>
    </row>
    <row r="22" spans="1:35" x14ac:dyDescent="0.2">
      <c r="A22" s="169"/>
      <c r="B22" s="180"/>
      <c r="C22" s="169"/>
      <c r="D22" s="90" t="s">
        <v>157</v>
      </c>
      <c r="E22" s="182"/>
      <c r="F22" s="183"/>
      <c r="G22" s="183"/>
      <c r="H22" s="183"/>
      <c r="I22" s="183"/>
      <c r="J22" s="183"/>
      <c r="K22" s="183"/>
      <c r="L22" s="184">
        <f t="shared" si="9"/>
        <v>0</v>
      </c>
      <c r="M22" s="184">
        <f t="shared" si="10"/>
        <v>0</v>
      </c>
      <c r="N22" s="184">
        <f t="shared" si="6"/>
        <v>0</v>
      </c>
      <c r="O22" s="184">
        <f t="shared" si="7"/>
        <v>0</v>
      </c>
      <c r="P22" s="184">
        <f t="shared" si="8"/>
        <v>0</v>
      </c>
      <c r="Q22" s="186">
        <f t="shared" si="11"/>
        <v>0</v>
      </c>
      <c r="T22" s="14"/>
      <c r="U22" s="508"/>
      <c r="V22" s="508"/>
    </row>
    <row r="23" spans="1:35" x14ac:dyDescent="0.2">
      <c r="A23" s="169"/>
      <c r="B23" s="180"/>
      <c r="C23" s="169"/>
      <c r="D23" s="90" t="s">
        <v>157</v>
      </c>
      <c r="E23" s="182"/>
      <c r="F23" s="183"/>
      <c r="G23" s="183"/>
      <c r="H23" s="183"/>
      <c r="I23" s="183"/>
      <c r="J23" s="183"/>
      <c r="K23" s="183"/>
      <c r="L23" s="369">
        <f>ROUND(E23*F23,0)</f>
        <v>0</v>
      </c>
      <c r="M23" s="369">
        <f t="shared" si="10"/>
        <v>0</v>
      </c>
      <c r="N23" s="369">
        <f t="shared" si="6"/>
        <v>0</v>
      </c>
      <c r="O23" s="369">
        <f t="shared" si="7"/>
        <v>0</v>
      </c>
      <c r="P23" s="369">
        <f t="shared" si="8"/>
        <v>0</v>
      </c>
      <c r="Q23" s="370">
        <f t="shared" si="11"/>
        <v>0</v>
      </c>
      <c r="T23" s="14"/>
      <c r="U23" s="524"/>
    </row>
    <row r="24" spans="1:35" x14ac:dyDescent="0.2">
      <c r="A24" s="169"/>
      <c r="B24" s="180"/>
      <c r="C24" s="169"/>
      <c r="D24" s="90" t="s">
        <v>157</v>
      </c>
      <c r="E24" s="182"/>
      <c r="F24" s="183"/>
      <c r="G24" s="183"/>
      <c r="H24" s="183"/>
      <c r="I24" s="183"/>
      <c r="J24" s="183"/>
      <c r="K24" s="183"/>
      <c r="L24" s="369">
        <f>ROUND(E24*F24,0)</f>
        <v>0</v>
      </c>
      <c r="M24" s="369">
        <f t="shared" si="10"/>
        <v>0</v>
      </c>
      <c r="N24" s="369">
        <f t="shared" si="6"/>
        <v>0</v>
      </c>
      <c r="O24" s="369">
        <f t="shared" si="7"/>
        <v>0</v>
      </c>
      <c r="P24" s="369">
        <f t="shared" si="8"/>
        <v>0</v>
      </c>
      <c r="Q24" s="370">
        <f>SUM(L24:P24)</f>
        <v>0</v>
      </c>
    </row>
    <row r="25" spans="1:35" x14ac:dyDescent="0.2">
      <c r="A25" s="169"/>
      <c r="B25" s="180"/>
      <c r="C25" s="169"/>
      <c r="D25" s="90" t="s">
        <v>157</v>
      </c>
      <c r="E25" s="182"/>
      <c r="F25" s="183"/>
      <c r="G25" s="183"/>
      <c r="H25" s="183"/>
      <c r="I25" s="183"/>
      <c r="J25" s="183"/>
      <c r="K25" s="183"/>
      <c r="L25" s="369">
        <f>ROUND(E25*F25,0)</f>
        <v>0</v>
      </c>
      <c r="M25" s="369">
        <f t="shared" si="10"/>
        <v>0</v>
      </c>
      <c r="N25" s="369">
        <f t="shared" si="6"/>
        <v>0</v>
      </c>
      <c r="O25" s="369">
        <f t="shared" si="7"/>
        <v>0</v>
      </c>
      <c r="P25" s="369">
        <f t="shared" si="8"/>
        <v>0</v>
      </c>
      <c r="Q25" s="370">
        <f>SUM(L25:P25)</f>
        <v>0</v>
      </c>
      <c r="W25" s="508"/>
    </row>
    <row r="26" spans="1:35" x14ac:dyDescent="0.2">
      <c r="A26" s="169"/>
      <c r="B26" s="180"/>
      <c r="C26" s="169"/>
      <c r="D26" s="90" t="s">
        <v>157</v>
      </c>
      <c r="E26" s="182"/>
      <c r="F26" s="183"/>
      <c r="G26" s="183"/>
      <c r="H26" s="183"/>
      <c r="I26" s="183"/>
      <c r="J26" s="183"/>
      <c r="K26" s="183"/>
      <c r="L26" s="369">
        <f>ROUND(E26*F26,0)</f>
        <v>0</v>
      </c>
      <c r="M26" s="369">
        <f t="shared" si="10"/>
        <v>0</v>
      </c>
      <c r="N26" s="369">
        <f t="shared" si="6"/>
        <v>0</v>
      </c>
      <c r="O26" s="369">
        <f t="shared" si="7"/>
        <v>0</v>
      </c>
      <c r="P26" s="369">
        <f t="shared" si="8"/>
        <v>0</v>
      </c>
      <c r="Q26" s="370">
        <f>SUM(L26:P26)</f>
        <v>0</v>
      </c>
    </row>
    <row r="27" spans="1:35" x14ac:dyDescent="0.2">
      <c r="A27" s="169"/>
      <c r="B27" s="180"/>
      <c r="C27" s="169"/>
      <c r="D27" s="90" t="s">
        <v>157</v>
      </c>
      <c r="E27" s="182"/>
      <c r="F27" s="183"/>
      <c r="G27" s="183"/>
      <c r="H27" s="183"/>
      <c r="I27" s="183"/>
      <c r="J27" s="183"/>
      <c r="K27" s="183"/>
      <c r="L27" s="369">
        <f>ROUND(E27*F27,0)</f>
        <v>0</v>
      </c>
      <c r="M27" s="369">
        <f t="shared" si="10"/>
        <v>0</v>
      </c>
      <c r="N27" s="369">
        <f t="shared" si="6"/>
        <v>0</v>
      </c>
      <c r="O27" s="369">
        <f t="shared" si="7"/>
        <v>0</v>
      </c>
      <c r="P27" s="369">
        <f t="shared" si="8"/>
        <v>0</v>
      </c>
      <c r="Q27" s="370">
        <f>SUM(L27:P27)</f>
        <v>0</v>
      </c>
    </row>
    <row r="28" spans="1:35" ht="14.25" x14ac:dyDescent="0.2">
      <c r="A28" s="169"/>
      <c r="B28" s="176" t="s">
        <v>31</v>
      </c>
      <c r="C28" s="176"/>
      <c r="D28" s="177"/>
      <c r="E28" s="177" t="s">
        <v>41</v>
      </c>
      <c r="F28" s="169" t="s">
        <v>35</v>
      </c>
      <c r="G28" s="169" t="s">
        <v>36</v>
      </c>
      <c r="H28" s="169" t="s">
        <v>37</v>
      </c>
      <c r="I28" s="169" t="s">
        <v>38</v>
      </c>
      <c r="J28" s="169" t="s">
        <v>39</v>
      </c>
      <c r="K28" s="169"/>
      <c r="L28" s="187"/>
      <c r="M28" s="187"/>
      <c r="N28" s="187"/>
      <c r="O28" s="187"/>
      <c r="P28" s="187"/>
      <c r="Q28" s="186"/>
      <c r="T28" s="14"/>
      <c r="U28" s="524"/>
    </row>
    <row r="29" spans="1:35" x14ac:dyDescent="0.2">
      <c r="A29" s="169"/>
      <c r="B29" s="188" t="s">
        <v>33</v>
      </c>
      <c r="C29" s="172" t="s">
        <v>230</v>
      </c>
      <c r="D29" s="282" t="s">
        <v>150</v>
      </c>
      <c r="E29" s="178" t="s">
        <v>40</v>
      </c>
      <c r="F29" s="179" t="s">
        <v>225</v>
      </c>
      <c r="G29" s="179" t="s">
        <v>225</v>
      </c>
      <c r="H29" s="179" t="s">
        <v>225</v>
      </c>
      <c r="I29" s="179" t="s">
        <v>225</v>
      </c>
      <c r="J29" s="179" t="s">
        <v>225</v>
      </c>
      <c r="K29" s="179"/>
      <c r="L29" s="187"/>
      <c r="M29" s="187"/>
      <c r="N29" s="187"/>
      <c r="O29" s="187"/>
      <c r="P29" s="187"/>
      <c r="Q29" s="186"/>
      <c r="T29" s="14"/>
      <c r="U29" s="14"/>
      <c r="V29" s="14"/>
    </row>
    <row r="30" spans="1:35" x14ac:dyDescent="0.2">
      <c r="A30" s="169"/>
      <c r="B30" s="180"/>
      <c r="C30" s="1" t="str">
        <f t="shared" ref="C30:C35" si="12">_xlfn.IFNA(VLOOKUP(B30,$B$13:$C$27,2,FALSE)," ")</f>
        <v xml:space="preserve"> </v>
      </c>
      <c r="D30" s="307" t="str">
        <f t="shared" ref="D30:D35" si="13">IF(B30="","","9 Month Faculty/Staff (SU)")</f>
        <v/>
      </c>
      <c r="E30" s="489"/>
      <c r="F30" s="183"/>
      <c r="G30" s="183"/>
      <c r="H30" s="183"/>
      <c r="I30" s="183"/>
      <c r="J30" s="183"/>
      <c r="K30" s="183"/>
      <c r="L30" s="184">
        <f t="shared" ref="L30:L35" si="14">ROUND(E30*F30,0)</f>
        <v>0</v>
      </c>
      <c r="M30" s="184">
        <f t="shared" ref="M30:M35" si="15">IF($A$1&gt;1,ROUND(E30*G30*$V$15,0),0)</f>
        <v>0</v>
      </c>
      <c r="N30" s="184">
        <f t="shared" ref="N30:N35" si="16">IF($A$1&gt;2,ROUND(E30*H30*$V$15^2,0),0)</f>
        <v>0</v>
      </c>
      <c r="O30" s="184">
        <f t="shared" ref="O30:O35" si="17">IF($A$1&gt;3,ROUND(E30*I30*$V$15^3,0),0)</f>
        <v>0</v>
      </c>
      <c r="P30" s="184">
        <f t="shared" ref="P30:P35" si="18">IF($A$1&gt;4,ROUND(E30*J30*$V$15^4,0),0)</f>
        <v>0</v>
      </c>
      <c r="Q30" s="186">
        <f t="shared" ref="Q30:Q35" si="19">SUM(L30:P30)</f>
        <v>0</v>
      </c>
      <c r="U30" s="92"/>
      <c r="AF30" s="1" t="s">
        <v>25</v>
      </c>
    </row>
    <row r="31" spans="1:35" x14ac:dyDescent="0.2">
      <c r="A31" s="169"/>
      <c r="B31" s="180"/>
      <c r="C31" s="1" t="str">
        <f t="shared" si="12"/>
        <v xml:space="preserve"> </v>
      </c>
      <c r="D31" s="307" t="str">
        <f t="shared" si="13"/>
        <v/>
      </c>
      <c r="E31" s="182"/>
      <c r="F31" s="183"/>
      <c r="G31" s="183"/>
      <c r="H31" s="183"/>
      <c r="I31" s="183"/>
      <c r="J31" s="183"/>
      <c r="K31" s="183"/>
      <c r="L31" s="184">
        <f t="shared" si="14"/>
        <v>0</v>
      </c>
      <c r="M31" s="184">
        <f t="shared" si="15"/>
        <v>0</v>
      </c>
      <c r="N31" s="184">
        <f t="shared" si="16"/>
        <v>0</v>
      </c>
      <c r="O31" s="184">
        <f t="shared" si="17"/>
        <v>0</v>
      </c>
      <c r="P31" s="184">
        <f t="shared" si="18"/>
        <v>0</v>
      </c>
      <c r="Q31" s="186">
        <f t="shared" si="19"/>
        <v>0</v>
      </c>
      <c r="U31" s="92"/>
      <c r="AE31" s="1" t="s">
        <v>25</v>
      </c>
    </row>
    <row r="32" spans="1:35" x14ac:dyDescent="0.2">
      <c r="A32" s="169"/>
      <c r="B32" s="182"/>
      <c r="C32" s="1" t="str">
        <f t="shared" si="12"/>
        <v xml:space="preserve"> </v>
      </c>
      <c r="D32" s="307" t="str">
        <f t="shared" si="13"/>
        <v/>
      </c>
      <c r="E32" s="182"/>
      <c r="F32" s="183"/>
      <c r="G32" s="183"/>
      <c r="H32" s="183"/>
      <c r="I32" s="183"/>
      <c r="J32" s="183"/>
      <c r="K32" s="183"/>
      <c r="L32" s="184">
        <f t="shared" si="14"/>
        <v>0</v>
      </c>
      <c r="M32" s="184">
        <f t="shared" si="15"/>
        <v>0</v>
      </c>
      <c r="N32" s="184">
        <f t="shared" si="16"/>
        <v>0</v>
      </c>
      <c r="O32" s="184">
        <f t="shared" si="17"/>
        <v>0</v>
      </c>
      <c r="P32" s="184">
        <f t="shared" si="18"/>
        <v>0</v>
      </c>
      <c r="Q32" s="186">
        <f t="shared" si="19"/>
        <v>0</v>
      </c>
      <c r="W32" s="14"/>
      <c r="AE32" s="1" t="s">
        <v>25</v>
      </c>
    </row>
    <row r="33" spans="1:31" x14ac:dyDescent="0.2">
      <c r="A33" s="169"/>
      <c r="B33" s="182"/>
      <c r="C33" s="1" t="str">
        <f t="shared" si="12"/>
        <v xml:space="preserve"> </v>
      </c>
      <c r="D33" s="307" t="str">
        <f t="shared" si="13"/>
        <v/>
      </c>
      <c r="E33" s="182"/>
      <c r="F33" s="183"/>
      <c r="G33" s="183"/>
      <c r="H33" s="183"/>
      <c r="I33" s="183"/>
      <c r="J33" s="183"/>
      <c r="K33" s="183"/>
      <c r="L33" s="184">
        <f t="shared" si="14"/>
        <v>0</v>
      </c>
      <c r="M33" s="184">
        <f t="shared" si="15"/>
        <v>0</v>
      </c>
      <c r="N33" s="184">
        <f t="shared" si="16"/>
        <v>0</v>
      </c>
      <c r="O33" s="184">
        <f t="shared" si="17"/>
        <v>0</v>
      </c>
      <c r="P33" s="184">
        <f t="shared" si="18"/>
        <v>0</v>
      </c>
      <c r="Q33" s="186">
        <f t="shared" si="19"/>
        <v>0</v>
      </c>
      <c r="U33" s="15"/>
    </row>
    <row r="34" spans="1:31" x14ac:dyDescent="0.2">
      <c r="A34" s="169"/>
      <c r="B34" s="182"/>
      <c r="C34" s="1" t="str">
        <f t="shared" si="12"/>
        <v xml:space="preserve"> </v>
      </c>
      <c r="D34" s="307" t="str">
        <f t="shared" si="13"/>
        <v/>
      </c>
      <c r="E34" s="182"/>
      <c r="F34" s="183"/>
      <c r="G34" s="183"/>
      <c r="H34" s="183"/>
      <c r="I34" s="183"/>
      <c r="J34" s="183"/>
      <c r="K34" s="183"/>
      <c r="L34" s="184">
        <f t="shared" si="14"/>
        <v>0</v>
      </c>
      <c r="M34" s="184">
        <f t="shared" si="15"/>
        <v>0</v>
      </c>
      <c r="N34" s="184">
        <f t="shared" si="16"/>
        <v>0</v>
      </c>
      <c r="O34" s="184">
        <f t="shared" si="17"/>
        <v>0</v>
      </c>
      <c r="P34" s="184">
        <f t="shared" si="18"/>
        <v>0</v>
      </c>
      <c r="Q34" s="186">
        <f t="shared" si="19"/>
        <v>0</v>
      </c>
      <c r="U34" s="92"/>
    </row>
    <row r="35" spans="1:31" x14ac:dyDescent="0.2">
      <c r="A35" s="169"/>
      <c r="B35" s="182"/>
      <c r="C35" s="1" t="str">
        <f t="shared" si="12"/>
        <v xml:space="preserve"> </v>
      </c>
      <c r="D35" s="307" t="str">
        <f t="shared" si="13"/>
        <v/>
      </c>
      <c r="E35" s="182"/>
      <c r="F35" s="183"/>
      <c r="G35" s="183"/>
      <c r="H35" s="183"/>
      <c r="I35" s="183"/>
      <c r="J35" s="183"/>
      <c r="K35" s="183"/>
      <c r="L35" s="184">
        <f t="shared" si="14"/>
        <v>0</v>
      </c>
      <c r="M35" s="184">
        <f t="shared" si="15"/>
        <v>0</v>
      </c>
      <c r="N35" s="184">
        <f t="shared" si="16"/>
        <v>0</v>
      </c>
      <c r="O35" s="184">
        <f t="shared" si="17"/>
        <v>0</v>
      </c>
      <c r="P35" s="184">
        <f t="shared" si="18"/>
        <v>0</v>
      </c>
      <c r="Q35" s="186">
        <f t="shared" si="19"/>
        <v>0</v>
      </c>
      <c r="U35" s="92"/>
    </row>
    <row r="36" spans="1:31" x14ac:dyDescent="0.2">
      <c r="A36" s="169"/>
      <c r="B36" s="168"/>
      <c r="C36" s="168"/>
      <c r="D36" s="282"/>
      <c r="E36" s="189"/>
      <c r="F36" s="189"/>
      <c r="G36" s="189"/>
      <c r="H36" s="189"/>
      <c r="I36" s="189"/>
      <c r="J36" s="190"/>
      <c r="K36" s="190"/>
      <c r="L36" s="191"/>
      <c r="M36" s="191"/>
      <c r="N36" s="191"/>
      <c r="O36" s="191"/>
      <c r="P36" s="191"/>
      <c r="Q36" s="192"/>
      <c r="S36" s="10"/>
      <c r="U36" s="92"/>
      <c r="AE36" s="1" t="s">
        <v>25</v>
      </c>
    </row>
    <row r="37" spans="1:31" ht="15.6" customHeight="1" x14ac:dyDescent="0.2">
      <c r="A37" s="169"/>
      <c r="B37" s="180" t="s">
        <v>42</v>
      </c>
      <c r="C37" s="180" t="s">
        <v>234</v>
      </c>
      <c r="D37" s="182"/>
      <c r="E37" s="468">
        <f>15*12*173.33</f>
        <v>31199.4</v>
      </c>
      <c r="F37" s="416"/>
      <c r="G37" s="416"/>
      <c r="H37" s="416"/>
      <c r="I37" s="182"/>
      <c r="J37" s="193"/>
      <c r="K37" s="193"/>
      <c r="L37" s="184">
        <f>E37*F37</f>
        <v>0</v>
      </c>
      <c r="M37" s="184">
        <f>IF($A$1&gt;1,ROUND(E37*G37*$V$15,0),0)</f>
        <v>0</v>
      </c>
      <c r="N37" s="184">
        <f>IF($A$1&gt;2,ROUND(E37*H37*$V$15^2,0),0)</f>
        <v>0</v>
      </c>
      <c r="O37" s="184">
        <f>IF($A$1&gt;3,ROUND(E37*I37*$V$15^3,0),0)</f>
        <v>0</v>
      </c>
      <c r="P37" s="184">
        <f>IF($A$1&gt;3,ROUND(F37*J37*$V$15^3,0),0)</f>
        <v>0</v>
      </c>
      <c r="Q37" s="186">
        <f>SUM(L37:P37)</f>
        <v>0</v>
      </c>
      <c r="T37" s="14"/>
      <c r="V37" s="14"/>
      <c r="W37" s="14"/>
    </row>
    <row r="38" spans="1:31" x14ac:dyDescent="0.2">
      <c r="A38" s="169"/>
      <c r="B38" s="180" t="s">
        <v>127</v>
      </c>
      <c r="C38" s="180" t="s">
        <v>234</v>
      </c>
      <c r="D38" s="182"/>
      <c r="E38" s="182"/>
      <c r="F38" s="182"/>
      <c r="G38" s="182"/>
      <c r="H38" s="182"/>
      <c r="I38" s="182"/>
      <c r="J38" s="193"/>
      <c r="K38" s="193"/>
      <c r="L38" s="184">
        <v>0</v>
      </c>
      <c r="M38" s="184">
        <f>IF($A$1&gt;1,ROUND(L38*$V$15,0),0)</f>
        <v>0</v>
      </c>
      <c r="N38" s="184">
        <f>IF($A$1&gt;2,ROUND(M38*$V$15,0),0)</f>
        <v>0</v>
      </c>
      <c r="O38" s="184">
        <f>IF($A$1&gt;3,ROUND(N38*$V$15,0),0)</f>
        <v>0</v>
      </c>
      <c r="P38" s="184">
        <f>IF($A$1&gt;4,ROUND(O38*$V$15,0),0)</f>
        <v>0</v>
      </c>
      <c r="Q38" s="186">
        <f>SUM(L38:P38)</f>
        <v>0</v>
      </c>
      <c r="U38" s="92"/>
      <c r="Y38" s="15"/>
      <c r="Z38" s="15"/>
      <c r="AA38" s="15"/>
    </row>
    <row r="39" spans="1:31" x14ac:dyDescent="0.2">
      <c r="A39" s="169"/>
      <c r="B39" s="168"/>
      <c r="C39" s="168"/>
      <c r="D39" s="168"/>
      <c r="E39" s="189"/>
      <c r="F39" s="189"/>
      <c r="G39" s="189"/>
      <c r="H39" s="189"/>
      <c r="I39" s="189"/>
      <c r="J39" s="190"/>
      <c r="K39" s="190"/>
      <c r="L39" s="191"/>
      <c r="M39" s="191"/>
      <c r="N39" s="191"/>
      <c r="O39" s="191"/>
      <c r="P39" s="191"/>
      <c r="Q39" s="192"/>
      <c r="U39" s="92"/>
      <c r="W39" s="15"/>
      <c r="Y39" s="15"/>
      <c r="Z39" s="15"/>
      <c r="AA39" s="15"/>
    </row>
    <row r="40" spans="1:31" ht="14.25" x14ac:dyDescent="0.2">
      <c r="A40" s="169"/>
      <c r="B40" s="176" t="s">
        <v>177</v>
      </c>
      <c r="C40" s="176"/>
      <c r="D40" s="177"/>
      <c r="E40" s="177" t="s">
        <v>41</v>
      </c>
      <c r="F40" s="169" t="s">
        <v>35</v>
      </c>
      <c r="G40" s="169" t="s">
        <v>36</v>
      </c>
      <c r="H40" s="169" t="s">
        <v>37</v>
      </c>
      <c r="I40" s="169" t="s">
        <v>38</v>
      </c>
      <c r="J40" s="169" t="s">
        <v>39</v>
      </c>
      <c r="K40" s="169"/>
      <c r="L40" s="184"/>
      <c r="M40" s="184"/>
      <c r="N40" s="184"/>
      <c r="O40" s="184"/>
      <c r="P40" s="184"/>
      <c r="Q40" s="185"/>
      <c r="Y40" s="15"/>
      <c r="Z40" s="15"/>
      <c r="AA40" s="15"/>
    </row>
    <row r="41" spans="1:31" x14ac:dyDescent="0.2">
      <c r="A41" s="169"/>
      <c r="B41" s="188" t="s">
        <v>179</v>
      </c>
      <c r="C41" s="172" t="s">
        <v>230</v>
      </c>
      <c r="D41" s="182"/>
      <c r="E41" s="178" t="s">
        <v>53</v>
      </c>
      <c r="F41" s="179" t="s">
        <v>43</v>
      </c>
      <c r="G41" s="179" t="s">
        <v>43</v>
      </c>
      <c r="H41" s="179" t="s">
        <v>43</v>
      </c>
      <c r="I41" s="179" t="s">
        <v>43</v>
      </c>
      <c r="J41" s="179" t="s">
        <v>43</v>
      </c>
      <c r="K41" s="179"/>
      <c r="L41" s="184"/>
      <c r="M41" s="184"/>
      <c r="N41" s="184"/>
      <c r="O41" s="184"/>
      <c r="P41" s="184"/>
      <c r="Q41" s="185"/>
      <c r="U41" s="15"/>
      <c r="Y41" s="15"/>
      <c r="Z41" s="15"/>
      <c r="AA41" s="15"/>
    </row>
    <row r="42" spans="1:31" x14ac:dyDescent="0.2">
      <c r="A42" s="169"/>
      <c r="B42" s="180" t="s">
        <v>282</v>
      </c>
      <c r="C42" s="180" t="s">
        <v>234</v>
      </c>
      <c r="D42" s="182"/>
      <c r="E42" s="469"/>
      <c r="F42" s="183"/>
      <c r="G42" s="183"/>
      <c r="H42" s="183"/>
      <c r="I42" s="183"/>
      <c r="J42" s="183"/>
      <c r="K42" s="183"/>
      <c r="L42" s="194">
        <f>ROUND($E$42*F42*F44/3,0)</f>
        <v>0</v>
      </c>
      <c r="M42" s="194">
        <f>IF($A$1&gt;1,ROUND($V$14*$E$42*G42*G44/3,0),0)</f>
        <v>0</v>
      </c>
      <c r="N42" s="194">
        <f>IF($A$1&gt;2,ROUND($V$14^2*$E$42*H42*H44/3,0),0)</f>
        <v>0</v>
      </c>
      <c r="O42" s="194">
        <f>IF($A$1&gt;3,ROUND($V$14^3*$E$42*I42*I44/3,0),0)</f>
        <v>0</v>
      </c>
      <c r="P42" s="194">
        <f>IF($A$1&gt;4,ROUND($V$14^4*$E$42*J42*J44/3,0),0)</f>
        <v>0</v>
      </c>
      <c r="Q42" s="186">
        <f>SUM(L42:P42)</f>
        <v>0</v>
      </c>
      <c r="W42" s="15"/>
      <c r="Y42" s="15"/>
      <c r="Z42" s="15"/>
      <c r="AA42" s="15"/>
    </row>
    <row r="43" spans="1:31" x14ac:dyDescent="0.2">
      <c r="A43" s="169"/>
      <c r="B43" s="180" t="s">
        <v>283</v>
      </c>
      <c r="C43" s="180" t="s">
        <v>234</v>
      </c>
      <c r="D43" s="182"/>
      <c r="E43" s="195" t="s">
        <v>49</v>
      </c>
      <c r="F43" s="183"/>
      <c r="G43" s="183"/>
      <c r="H43" s="183"/>
      <c r="I43" s="183"/>
      <c r="J43" s="183"/>
      <c r="K43" s="183"/>
      <c r="L43" s="194">
        <f>ROUND($E$42*F45*F43/3,0)</f>
        <v>0</v>
      </c>
      <c r="M43" s="194">
        <f>IF($A$1&gt;1,ROUND($V$14*$E$42*G45*G43/3,0),0)</f>
        <v>0</v>
      </c>
      <c r="N43" s="194">
        <f>IF($A$1&gt;2,ROUND($V$14^2*$E$42*H45*H43/3,0),0)</f>
        <v>0</v>
      </c>
      <c r="O43" s="194">
        <f>IF($A$1&gt;3,ROUND($V$14^3*$E$42*I45*I43/3,0),0)</f>
        <v>0</v>
      </c>
      <c r="P43" s="194">
        <f>IF($A$1&gt;4,ROUND($V$14^4*$E$42*J45*J43/3,0),0)</f>
        <v>0</v>
      </c>
      <c r="Q43" s="186">
        <f>SUM(L43:P43)</f>
        <v>0</v>
      </c>
      <c r="W43" s="15"/>
      <c r="Y43" s="15"/>
      <c r="Z43" s="15"/>
      <c r="AA43" s="15"/>
    </row>
    <row r="44" spans="1:31" ht="13.5" x14ac:dyDescent="0.25">
      <c r="A44" s="169"/>
      <c r="B44" s="196"/>
      <c r="C44" s="196"/>
      <c r="D44" s="197"/>
      <c r="E44" s="198" t="s">
        <v>77</v>
      </c>
      <c r="F44" s="199"/>
      <c r="G44" s="199"/>
      <c r="H44" s="199"/>
      <c r="I44" s="199"/>
      <c r="J44" s="199"/>
      <c r="K44" s="178"/>
      <c r="L44" s="184"/>
      <c r="M44" s="184"/>
      <c r="N44" s="184"/>
      <c r="O44" s="184"/>
      <c r="P44" s="184"/>
      <c r="Q44" s="185"/>
      <c r="W44" s="15"/>
      <c r="Y44" s="15"/>
      <c r="Z44" s="15"/>
      <c r="AA44" s="15"/>
    </row>
    <row r="45" spans="1:31" x14ac:dyDescent="0.2">
      <c r="A45" s="169"/>
      <c r="B45" s="200"/>
      <c r="C45" s="200"/>
      <c r="D45" s="197"/>
      <c r="E45" s="198" t="s">
        <v>78</v>
      </c>
      <c r="F45" s="199"/>
      <c r="G45" s="199"/>
      <c r="H45" s="199"/>
      <c r="I45" s="199"/>
      <c r="J45" s="199"/>
      <c r="K45" s="178"/>
      <c r="L45" s="184"/>
      <c r="M45" s="184"/>
      <c r="N45" s="184"/>
      <c r="O45" s="184"/>
      <c r="P45" s="184"/>
      <c r="Q45" s="185"/>
      <c r="S45" s="86"/>
      <c r="U45" s="86"/>
      <c r="W45" s="15"/>
      <c r="Y45" s="15"/>
      <c r="Z45" s="15"/>
      <c r="AA45" s="15"/>
    </row>
    <row r="46" spans="1:31" x14ac:dyDescent="0.2">
      <c r="A46" s="169"/>
      <c r="B46" s="168"/>
      <c r="C46" s="168"/>
      <c r="D46" s="168"/>
      <c r="E46" s="189"/>
      <c r="F46" s="189"/>
      <c r="G46" s="189"/>
      <c r="H46" s="189"/>
      <c r="I46" s="189"/>
      <c r="J46" s="190"/>
      <c r="K46" s="190"/>
      <c r="L46" s="191"/>
      <c r="M46" s="191"/>
      <c r="N46" s="191"/>
      <c r="O46" s="191"/>
      <c r="P46" s="191"/>
      <c r="Q46" s="192"/>
      <c r="S46" s="86"/>
      <c r="U46" s="86"/>
      <c r="W46" s="15"/>
      <c r="Y46" s="15"/>
      <c r="Z46" s="15"/>
      <c r="AA46" s="15"/>
    </row>
    <row r="47" spans="1:31" ht="14.25" x14ac:dyDescent="0.2">
      <c r="A47" s="169"/>
      <c r="B47" s="176" t="s">
        <v>178</v>
      </c>
      <c r="C47" s="176"/>
      <c r="D47" s="177"/>
      <c r="E47" s="177" t="s">
        <v>41</v>
      </c>
      <c r="F47" s="169" t="s">
        <v>35</v>
      </c>
      <c r="G47" s="169" t="s">
        <v>36</v>
      </c>
      <c r="H47" s="169" t="s">
        <v>37</v>
      </c>
      <c r="I47" s="169" t="s">
        <v>38</v>
      </c>
      <c r="J47" s="169" t="s">
        <v>39</v>
      </c>
      <c r="K47" s="169"/>
      <c r="L47" s="184"/>
      <c r="M47" s="184"/>
      <c r="N47" s="184"/>
      <c r="O47" s="184"/>
      <c r="P47" s="184"/>
      <c r="Q47" s="185"/>
      <c r="S47" s="86"/>
      <c r="U47" s="86"/>
      <c r="V47" s="334"/>
      <c r="W47" s="334"/>
      <c r="X47" s="334"/>
      <c r="Y47" s="334"/>
      <c r="Z47" s="15"/>
      <c r="AA47" s="15"/>
    </row>
    <row r="48" spans="1:31" x14ac:dyDescent="0.2">
      <c r="A48" s="169"/>
      <c r="B48" s="188" t="s">
        <v>179</v>
      </c>
      <c r="C48" s="172" t="s">
        <v>230</v>
      </c>
      <c r="D48" s="182"/>
      <c r="E48" s="178" t="s">
        <v>53</v>
      </c>
      <c r="F48" s="179" t="s">
        <v>43</v>
      </c>
      <c r="G48" s="179" t="s">
        <v>43</v>
      </c>
      <c r="H48" s="179" t="s">
        <v>43</v>
      </c>
      <c r="I48" s="179" t="s">
        <v>43</v>
      </c>
      <c r="J48" s="179" t="s">
        <v>43</v>
      </c>
      <c r="K48" s="179"/>
      <c r="L48" s="194"/>
      <c r="M48" s="187"/>
      <c r="N48" s="187"/>
      <c r="O48" s="187"/>
      <c r="P48" s="187"/>
      <c r="Q48" s="186"/>
      <c r="R48" s="1" t="s">
        <v>25</v>
      </c>
      <c r="S48" s="86"/>
      <c r="U48" s="86"/>
      <c r="V48" s="334"/>
      <c r="W48" s="334"/>
      <c r="X48" s="334"/>
      <c r="Y48" s="334"/>
      <c r="Z48" s="15"/>
      <c r="AA48" s="15"/>
    </row>
    <row r="49" spans="1:25" x14ac:dyDescent="0.2">
      <c r="A49" s="169"/>
      <c r="B49" s="180" t="s">
        <v>280</v>
      </c>
      <c r="C49" s="180" t="s">
        <v>234</v>
      </c>
      <c r="D49" s="182"/>
      <c r="E49" s="182">
        <f>41960*V14*V14</f>
        <v>45383.936000000002</v>
      </c>
      <c r="F49" s="183"/>
      <c r="G49" s="183"/>
      <c r="H49" s="183"/>
      <c r="I49" s="183"/>
      <c r="J49" s="183"/>
      <c r="K49" s="183"/>
      <c r="L49" s="194">
        <f>ROUND($E$49*F49*F51/3,0)</f>
        <v>0</v>
      </c>
      <c r="M49" s="194">
        <f>IF($A$1&gt;1,ROUND($V$14*$E$49*G49*G51/3,0),0)</f>
        <v>0</v>
      </c>
      <c r="N49" s="194">
        <f>IF($A$1&gt;2,ROUND($V$14^2*$E$49*H49*H51/3,0),0)</f>
        <v>0</v>
      </c>
      <c r="O49" s="194">
        <f>IF($A$1&gt;3,ROUND($V$14^3*$E$49*I49*I51/3,0),0)</f>
        <v>0</v>
      </c>
      <c r="P49" s="194">
        <f>IF($A$1&gt;4,ROUND($V$14^4*$E$49*J49*J51/3,0),0)</f>
        <v>0</v>
      </c>
      <c r="Q49" s="186">
        <f>SUM(L49:P49)</f>
        <v>0</v>
      </c>
      <c r="S49" s="86"/>
      <c r="U49" s="86"/>
      <c r="V49" s="334"/>
      <c r="W49" s="334"/>
      <c r="X49" s="334"/>
      <c r="Y49" s="334"/>
    </row>
    <row r="50" spans="1:25" x14ac:dyDescent="0.2">
      <c r="A50" s="169"/>
      <c r="B50" s="180" t="s">
        <v>281</v>
      </c>
      <c r="C50" s="180" t="s">
        <v>234</v>
      </c>
      <c r="D50" s="182"/>
      <c r="E50" s="195" t="s">
        <v>49</v>
      </c>
      <c r="F50" s="183"/>
      <c r="G50" s="183"/>
      <c r="H50" s="183"/>
      <c r="I50" s="183"/>
      <c r="J50" s="183"/>
      <c r="K50" s="183"/>
      <c r="L50" s="194">
        <f>ROUND($E$49*F52*F50/3,0)</f>
        <v>0</v>
      </c>
      <c r="M50" s="194">
        <f>IF($A$1&gt;1,ROUND($V$14*$E$49*G52*G50/3,0),0)</f>
        <v>0</v>
      </c>
      <c r="N50" s="194">
        <f>IF($A$1&gt;2,ROUND($V$14^2*$E$49*H52*H50/3,0),0)</f>
        <v>0</v>
      </c>
      <c r="O50" s="194">
        <f>IF($A$1&gt;3,ROUND($V$14^3*$E$49*I52*I50/3,0),0)</f>
        <v>0</v>
      </c>
      <c r="P50" s="194">
        <f>IF($A$1&gt;4,ROUND($V$14^4*$E$49*J52*J50/3,0),0)</f>
        <v>0</v>
      </c>
      <c r="Q50" s="186">
        <f>SUM(L50:P50)</f>
        <v>0</v>
      </c>
      <c r="S50" s="86"/>
      <c r="U50" s="86"/>
      <c r="V50" s="334"/>
      <c r="W50" s="334"/>
      <c r="X50" s="334"/>
      <c r="Y50" s="334"/>
    </row>
    <row r="51" spans="1:25" ht="13.5" x14ac:dyDescent="0.25">
      <c r="A51" s="169"/>
      <c r="B51" s="196"/>
      <c r="C51" s="196"/>
      <c r="D51" s="197"/>
      <c r="E51" s="198" t="s">
        <v>77</v>
      </c>
      <c r="F51" s="199"/>
      <c r="G51" s="199"/>
      <c r="H51" s="199"/>
      <c r="I51" s="199"/>
      <c r="J51" s="199"/>
      <c r="K51" s="178"/>
      <c r="L51" s="194"/>
      <c r="M51" s="187"/>
      <c r="N51" s="187"/>
      <c r="O51" s="187"/>
      <c r="P51" s="187"/>
      <c r="Q51" s="186"/>
      <c r="S51" s="334"/>
      <c r="T51" s="334"/>
      <c r="U51" s="334"/>
      <c r="V51" s="334"/>
      <c r="W51" s="334"/>
      <c r="X51" s="334"/>
      <c r="Y51" s="334"/>
    </row>
    <row r="52" spans="1:25" x14ac:dyDescent="0.2">
      <c r="A52" s="169"/>
      <c r="B52" s="200"/>
      <c r="C52" s="200"/>
      <c r="D52" s="197"/>
      <c r="E52" s="198" t="s">
        <v>78</v>
      </c>
      <c r="F52" s="199"/>
      <c r="G52" s="199"/>
      <c r="H52" s="199"/>
      <c r="I52" s="199"/>
      <c r="J52" s="199"/>
      <c r="K52" s="178"/>
      <c r="L52" s="194"/>
      <c r="M52" s="187"/>
      <c r="N52" s="187"/>
      <c r="O52" s="187"/>
      <c r="P52" s="187"/>
      <c r="Q52" s="186"/>
      <c r="S52" s="334"/>
      <c r="T52" s="334"/>
      <c r="U52" s="334"/>
      <c r="V52" s="334"/>
      <c r="W52" s="334"/>
      <c r="X52" s="334"/>
      <c r="Y52" s="334"/>
    </row>
    <row r="53" spans="1:25" ht="13.5" x14ac:dyDescent="0.25">
      <c r="A53" s="169"/>
      <c r="B53" s="201"/>
      <c r="C53" s="201"/>
      <c r="D53" s="201"/>
      <c r="E53" s="202"/>
      <c r="F53" s="202"/>
      <c r="G53" s="202"/>
      <c r="H53" s="202"/>
      <c r="I53" s="202"/>
      <c r="J53" s="202"/>
      <c r="K53" s="202" t="s">
        <v>44</v>
      </c>
      <c r="L53" s="203">
        <f>SUM(L13:L52)</f>
        <v>0</v>
      </c>
      <c r="M53" s="203">
        <f>IF($A$1&gt;1,SUM(M13:M52),0)</f>
        <v>0</v>
      </c>
      <c r="N53" s="203">
        <f>IF($A$1&gt;2,SUM(N13:N52),0)</f>
        <v>0</v>
      </c>
      <c r="O53" s="203">
        <f>IF($A$1&gt;3,SUM(O13:O52),0)</f>
        <v>0</v>
      </c>
      <c r="P53" s="203">
        <f>IF($A$1&gt;4,SUM(P13:P52),0)</f>
        <v>0</v>
      </c>
      <c r="Q53" s="204">
        <f>SUM(L53:P53)</f>
        <v>0</v>
      </c>
      <c r="R53" s="15"/>
      <c r="S53" s="334"/>
      <c r="T53" s="334"/>
      <c r="U53" s="334"/>
      <c r="V53" s="334"/>
      <c r="W53" s="334"/>
      <c r="X53" s="334"/>
      <c r="Y53" s="334"/>
    </row>
    <row r="54" spans="1:25" ht="14.25" x14ac:dyDescent="0.2">
      <c r="A54" s="169"/>
      <c r="B54" s="176" t="s">
        <v>31</v>
      </c>
      <c r="C54" s="176"/>
      <c r="D54" s="176"/>
      <c r="E54" s="182"/>
      <c r="F54" s="182"/>
      <c r="G54" s="182"/>
      <c r="H54" s="182"/>
      <c r="I54" s="182"/>
      <c r="J54" s="180"/>
      <c r="K54" s="180"/>
      <c r="L54" s="194"/>
      <c r="M54" s="194"/>
      <c r="N54" s="194"/>
      <c r="O54" s="194"/>
      <c r="P54" s="194"/>
      <c r="Q54" s="186"/>
      <c r="S54" s="334"/>
      <c r="T54" s="334"/>
      <c r="U54" s="334"/>
      <c r="V54" s="334"/>
      <c r="W54" s="334"/>
      <c r="X54" s="334"/>
      <c r="Y54" s="334"/>
    </row>
    <row r="55" spans="1:25" ht="14.25" x14ac:dyDescent="0.2">
      <c r="A55" s="169"/>
      <c r="B55" s="176" t="s">
        <v>23</v>
      </c>
      <c r="C55" s="176"/>
      <c r="D55" s="176"/>
      <c r="E55" s="182"/>
      <c r="F55" s="182"/>
      <c r="G55" s="182"/>
      <c r="H55" s="182"/>
      <c r="I55" s="182"/>
      <c r="J55" s="205"/>
      <c r="K55" s="205"/>
      <c r="L55" s="194"/>
      <c r="M55" s="194"/>
      <c r="N55" s="194"/>
      <c r="O55" s="194"/>
      <c r="P55" s="194"/>
      <c r="Q55" s="186"/>
      <c r="S55" s="334"/>
      <c r="T55" s="334"/>
      <c r="U55" s="334"/>
      <c r="V55" s="334"/>
      <c r="W55" s="334"/>
      <c r="X55" s="334"/>
      <c r="Y55" s="334"/>
    </row>
    <row r="56" spans="1:25" x14ac:dyDescent="0.2">
      <c r="A56" s="169"/>
      <c r="B56" s="171" t="s">
        <v>27</v>
      </c>
      <c r="C56" s="172" t="s">
        <v>230</v>
      </c>
      <c r="D56" s="282" t="s">
        <v>150</v>
      </c>
      <c r="E56" s="182"/>
      <c r="F56" s="182"/>
      <c r="G56" s="182"/>
      <c r="H56" s="182"/>
      <c r="I56" s="182"/>
      <c r="J56" s="205"/>
      <c r="K56" s="205"/>
      <c r="L56" s="194"/>
      <c r="M56" s="194"/>
      <c r="N56" s="194"/>
      <c r="O56" s="194"/>
      <c r="P56" s="194"/>
      <c r="Q56" s="186"/>
      <c r="S56" s="334"/>
      <c r="T56" s="334"/>
      <c r="U56" s="334"/>
      <c r="V56" s="334"/>
      <c r="W56" s="334"/>
      <c r="X56" s="334"/>
      <c r="Y56" s="334"/>
    </row>
    <row r="57" spans="1:25" x14ac:dyDescent="0.2">
      <c r="A57" s="169"/>
      <c r="B57" s="206" t="str">
        <f>IF(B13="","",B13)</f>
        <v/>
      </c>
      <c r="C57" s="343" t="str">
        <f>IF(C13="","",C13)</f>
        <v>Select Personnel Type</v>
      </c>
      <c r="D57" s="90" t="str">
        <f>IF(D13="Select Employee Class","",D13)</f>
        <v>12 Month Faculty, w/ appt. .5+ FTE &amp; Hrly</v>
      </c>
      <c r="E57" s="207"/>
      <c r="F57" s="207"/>
      <c r="G57" s="207"/>
      <c r="H57" s="207"/>
      <c r="I57" s="207"/>
      <c r="K57" s="305" t="str">
        <f>IF(B57="","",VLOOKUP(VLOOKUP(D57,$AK$7:$AL$14,2,FALSE),'Eclass OPE Rates'!$A$26:$F$33,2,FALSE))</f>
        <v/>
      </c>
      <c r="L57" s="208">
        <f>IF($D57="",0,ROUND(L13*VLOOKUP(VLOOKUP($D57,'R&amp;R Generic Detailed Budget'!$AK$7:$AL$14,2,FALSE),'Eclass OPE Rates'!$A$26:$F$33,2,FALSE),0))</f>
        <v>0</v>
      </c>
      <c r="M57" s="208">
        <f>IF($D57="",0,ROUND(M13*VLOOKUP(VLOOKUP($D57,'R&amp;R Generic Detailed Budget'!$AK$7:$AL$14,2,FALSE),'Eclass OPE Rates'!$A$26:$F$33,3,FALSE),0))</f>
        <v>0</v>
      </c>
      <c r="N57" s="208">
        <f>IF($D57="",0,ROUND(N13*VLOOKUP(VLOOKUP($D57,'R&amp;R Generic Detailed Budget'!$AK$7:$AL$14,2,FALSE),'Eclass OPE Rates'!$A$26:$F$33,4,FALSE),0))</f>
        <v>0</v>
      </c>
      <c r="O57" s="208">
        <f>IF($D57="",0,ROUND(O13*VLOOKUP(VLOOKUP($D57,'R&amp;R Generic Detailed Budget'!$AK$7:$AL$14,2,FALSE),'Eclass OPE Rates'!$A$26:$F$33,5,FALSE),0))</f>
        <v>0</v>
      </c>
      <c r="P57" s="208">
        <f>IF($D57="",0,ROUND(P13*VLOOKUP(VLOOKUP($D57,'R&amp;R Generic Detailed Budget'!$AK$7:$AL$14,2,FALSE),'Eclass OPE Rates'!$A$26:$F$33,6,FALSE),0))</f>
        <v>0</v>
      </c>
      <c r="Q57" s="185">
        <f>SUM(L57:P57)</f>
        <v>0</v>
      </c>
      <c r="R57" s="86"/>
      <c r="S57" s="334"/>
      <c r="T57" s="334"/>
      <c r="U57" s="334"/>
      <c r="V57" s="334"/>
      <c r="W57" s="334"/>
      <c r="X57" s="334"/>
      <c r="Y57" s="334"/>
    </row>
    <row r="58" spans="1:25" ht="11.65" customHeight="1" x14ac:dyDescent="0.2">
      <c r="A58" s="169"/>
      <c r="B58" s="206" t="str">
        <f t="shared" ref="B58:C71" si="20">IF(B14="","",B14)</f>
        <v/>
      </c>
      <c r="C58" s="343" t="str">
        <f t="shared" si="20"/>
        <v/>
      </c>
      <c r="D58" s="90" t="str">
        <f>IF(D14="Select Employee Class","",D14)</f>
        <v/>
      </c>
      <c r="E58" s="197"/>
      <c r="F58" s="197"/>
      <c r="G58" s="197"/>
      <c r="H58" s="197"/>
      <c r="I58" s="197"/>
      <c r="K58" s="292" t="str">
        <f>IF(B58="","",VLOOKUP(VLOOKUP(D58,$AK$7:$AL$14,2,FALSE),'Eclass OPE Rates'!$A$26:$F$33,2,FALSE))</f>
        <v/>
      </c>
      <c r="L58" s="208">
        <f>IF($D58="",0,ROUND(L14*VLOOKUP(VLOOKUP($D58,'R&amp;R Generic Detailed Budget'!$AK$7:$AL$14,2,FALSE),'Eclass OPE Rates'!$A$26:$F$33,2,FALSE),0))</f>
        <v>0</v>
      </c>
      <c r="M58" s="208">
        <f>IF($D58="",0,ROUND(M14*VLOOKUP(VLOOKUP($D58,'R&amp;R Generic Detailed Budget'!$AK$7:$AL$14,2,FALSE),'Eclass OPE Rates'!$A$26:$F$33,3,FALSE),0))</f>
        <v>0</v>
      </c>
      <c r="N58" s="208">
        <f>IF($D58="",0,ROUND(N14*VLOOKUP(VLOOKUP($D58,'R&amp;R Generic Detailed Budget'!$AK$7:$AL$14,2,FALSE),'Eclass OPE Rates'!$A$26:$F$33,4,FALSE),0))</f>
        <v>0</v>
      </c>
      <c r="O58" s="208">
        <f>IF($D58="",0,ROUND(O14*VLOOKUP(VLOOKUP($D58,'R&amp;R Generic Detailed Budget'!$AK$7:$AL$14,2,FALSE),'Eclass OPE Rates'!$A$26:$F$33,5,FALSE),0))</f>
        <v>0</v>
      </c>
      <c r="P58" s="208">
        <f>IF($D58="",0,ROUND(P14*VLOOKUP(VLOOKUP($D58,'R&amp;R Generic Detailed Budget'!$AK$7:$AL$14,2,FALSE),'Eclass OPE Rates'!$A$26:$F$33,6,FALSE),0))</f>
        <v>0</v>
      </c>
      <c r="Q58" s="185">
        <f>SUM(L58:P58)</f>
        <v>0</v>
      </c>
      <c r="R58" s="86"/>
      <c r="S58" s="334"/>
      <c r="T58" s="334"/>
      <c r="U58" s="334"/>
      <c r="V58" s="334"/>
      <c r="W58" s="334"/>
      <c r="X58" s="334"/>
      <c r="Y58" s="334"/>
    </row>
    <row r="59" spans="1:25" x14ac:dyDescent="0.2">
      <c r="A59" s="169"/>
      <c r="B59" s="206" t="str">
        <f t="shared" si="20"/>
        <v/>
      </c>
      <c r="C59" s="343" t="str">
        <f t="shared" si="20"/>
        <v/>
      </c>
      <c r="D59" s="90" t="str">
        <f>IF(D15="Select Employee Class","",D15)</f>
        <v/>
      </c>
      <c r="E59" s="197"/>
      <c r="F59" s="197"/>
      <c r="G59" s="197"/>
      <c r="H59" s="197"/>
      <c r="I59" s="197"/>
      <c r="K59" s="292" t="str">
        <f>IF(B59="","",VLOOKUP(VLOOKUP(D59,$AK$7:$AL$14,2,FALSE),'Eclass OPE Rates'!$A$26:$F$33,2,FALSE))</f>
        <v/>
      </c>
      <c r="L59" s="208">
        <f>IF($D59="",0,ROUND(L15*VLOOKUP(VLOOKUP($D59,'R&amp;R Generic Detailed Budget'!$AK$7:$AL$14,2,FALSE),'Eclass OPE Rates'!$A$26:$F$33,2,FALSE),0))</f>
        <v>0</v>
      </c>
      <c r="M59" s="208">
        <f>IF($D59="",0,ROUND(M15*VLOOKUP(VLOOKUP($D59,'R&amp;R Generic Detailed Budget'!$AK$7:$AL$14,2,FALSE),'Eclass OPE Rates'!$A$26:$F$33,3,FALSE),0))</f>
        <v>0</v>
      </c>
      <c r="N59" s="208">
        <f>IF($D59="",0,ROUND(N15*VLOOKUP(VLOOKUP($D59,'R&amp;R Generic Detailed Budget'!$AK$7:$AL$14,2,FALSE),'Eclass OPE Rates'!$A$26:$F$33,4,FALSE),0))</f>
        <v>0</v>
      </c>
      <c r="O59" s="208">
        <f>IF($D59="",0,ROUND(O15*VLOOKUP(VLOOKUP($D59,'R&amp;R Generic Detailed Budget'!$AK$7:$AL$14,2,FALSE),'Eclass OPE Rates'!$A$26:$F$33,5,FALSE),0))</f>
        <v>0</v>
      </c>
      <c r="P59" s="208">
        <f>IF($D59="",0,ROUND(P15*VLOOKUP(VLOOKUP($D59,'R&amp;R Generic Detailed Budget'!$AK$7:$AL$14,2,FALSE),'Eclass OPE Rates'!$A$26:$F$33,6,FALSE),0))</f>
        <v>0</v>
      </c>
      <c r="Q59" s="185">
        <f t="shared" ref="Q59:Q67" si="21">SUM(L59:P59)</f>
        <v>0</v>
      </c>
      <c r="S59" s="334"/>
      <c r="T59" s="334"/>
      <c r="U59" s="334"/>
      <c r="V59" s="334"/>
      <c r="W59" s="334"/>
      <c r="X59" s="334"/>
      <c r="Y59" s="334"/>
    </row>
    <row r="60" spans="1:25" x14ac:dyDescent="0.2">
      <c r="A60" s="169"/>
      <c r="B60" s="206" t="str">
        <f t="shared" si="20"/>
        <v/>
      </c>
      <c r="C60" s="343" t="str">
        <f t="shared" si="20"/>
        <v/>
      </c>
      <c r="D60" s="90" t="str">
        <f>IF(D16="Select Employee Class","",D16)</f>
        <v/>
      </c>
      <c r="E60" s="197"/>
      <c r="F60" s="197"/>
      <c r="G60" s="197"/>
      <c r="H60" s="197"/>
      <c r="I60" s="197"/>
      <c r="K60" s="292" t="str">
        <f>IF(B60="","",VLOOKUP(VLOOKUP(D60,$AK$7:$AL$14,2,FALSE),'Eclass OPE Rates'!$A$26:$F$33,2,FALSE))</f>
        <v/>
      </c>
      <c r="L60" s="208">
        <f>IF($D60="",0,ROUND(L16*VLOOKUP(VLOOKUP($D60,'R&amp;R Generic Detailed Budget'!$AK$7:$AL$14,2,FALSE),'Eclass OPE Rates'!$A$26:$F$33,2,FALSE),0))</f>
        <v>0</v>
      </c>
      <c r="M60" s="208">
        <f>IF($D60="",0,ROUND(M16*VLOOKUP(VLOOKUP($D60,'R&amp;R Generic Detailed Budget'!$AK$7:$AL$14,2,FALSE),'Eclass OPE Rates'!$A$26:$F$33,3,FALSE),0))</f>
        <v>0</v>
      </c>
      <c r="N60" s="208">
        <f>IF($D60="",0,ROUND(N16*VLOOKUP(VLOOKUP($D60,'R&amp;R Generic Detailed Budget'!$AK$7:$AL$14,2,FALSE),'Eclass OPE Rates'!$A$26:$F$33,4,FALSE),0))</f>
        <v>0</v>
      </c>
      <c r="O60" s="208">
        <f>IF($D60="",0,ROUND(O16*VLOOKUP(VLOOKUP($D60,'R&amp;R Generic Detailed Budget'!$AK$7:$AL$14,2,FALSE),'Eclass OPE Rates'!$A$26:$F$33,5,FALSE),0))</f>
        <v>0</v>
      </c>
      <c r="P60" s="208">
        <f>IF($D60="",0,ROUND(P16*VLOOKUP(VLOOKUP($D60,'R&amp;R Generic Detailed Budget'!$AK$7:$AL$14,2,FALSE),'Eclass OPE Rates'!$A$26:$F$33,6,FALSE),0))</f>
        <v>0</v>
      </c>
      <c r="Q60" s="185">
        <f t="shared" si="21"/>
        <v>0</v>
      </c>
      <c r="S60" s="334"/>
      <c r="T60" s="334"/>
      <c r="U60" s="334"/>
      <c r="V60" s="334"/>
      <c r="W60" s="334"/>
      <c r="X60" s="334"/>
      <c r="Y60" s="334"/>
    </row>
    <row r="61" spans="1:25" x14ac:dyDescent="0.2">
      <c r="A61" s="169"/>
      <c r="B61" s="206" t="str">
        <f t="shared" si="20"/>
        <v/>
      </c>
      <c r="C61" s="343" t="str">
        <f t="shared" si="20"/>
        <v/>
      </c>
      <c r="D61" s="90" t="str">
        <f t="shared" ref="D61:D71" si="22">IF(D17="Select Employee Class","",D17)</f>
        <v/>
      </c>
      <c r="E61" s="197"/>
      <c r="F61" s="197"/>
      <c r="G61" s="197"/>
      <c r="H61" s="197"/>
      <c r="I61" s="197"/>
      <c r="K61" s="292" t="str">
        <f>IF(B61="","",VLOOKUP(VLOOKUP(D61,$AK$7:$AL$14,2,FALSE),'Eclass OPE Rates'!$A$26:$F$33,2,FALSE))</f>
        <v/>
      </c>
      <c r="L61" s="208">
        <f>IF($D61="",0,ROUND(L17*VLOOKUP(VLOOKUP($D61,'R&amp;R Generic Detailed Budget'!$AK$7:$AL$14,2,FALSE),'Eclass OPE Rates'!$A$26:$F$33,2,FALSE),0))</f>
        <v>0</v>
      </c>
      <c r="M61" s="208">
        <f>IF($D61="",0,ROUND(M17*VLOOKUP(VLOOKUP($D61,'R&amp;R Generic Detailed Budget'!$AK$7:$AL$14,2,FALSE),'Eclass OPE Rates'!$A$26:$F$33,3,FALSE),0))</f>
        <v>0</v>
      </c>
      <c r="N61" s="208">
        <f>IF($D61="",0,ROUND(N17*VLOOKUP(VLOOKUP($D61,'R&amp;R Generic Detailed Budget'!$AK$7:$AL$14,2,FALSE),'Eclass OPE Rates'!$A$26:$F$33,4,FALSE),0))</f>
        <v>0</v>
      </c>
      <c r="O61" s="208">
        <f>IF($D61="",0,ROUND(O17*VLOOKUP(VLOOKUP($D61,'R&amp;R Generic Detailed Budget'!$AK$7:$AL$14,2,FALSE),'Eclass OPE Rates'!$A$26:$F$33,5,FALSE),0))</f>
        <v>0</v>
      </c>
      <c r="P61" s="208">
        <f>IF($D61="",0,ROUND(P17*VLOOKUP(VLOOKUP($D61,'R&amp;R Generic Detailed Budget'!$AK$7:$AL$14,2,FALSE),'Eclass OPE Rates'!$A$26:$F$33,6,FALSE),0))</f>
        <v>0</v>
      </c>
      <c r="Q61" s="185">
        <f t="shared" si="21"/>
        <v>0</v>
      </c>
      <c r="S61" s="334"/>
      <c r="T61" s="334" t="s">
        <v>25</v>
      </c>
      <c r="U61" s="334"/>
      <c r="V61" s="334"/>
      <c r="W61" s="334"/>
      <c r="X61" s="334"/>
      <c r="Y61" s="334"/>
    </row>
    <row r="62" spans="1:25" x14ac:dyDescent="0.2">
      <c r="A62" s="169"/>
      <c r="B62" s="206" t="str">
        <f t="shared" si="20"/>
        <v/>
      </c>
      <c r="C62" s="343" t="str">
        <f t="shared" si="20"/>
        <v/>
      </c>
      <c r="D62" s="90" t="str">
        <f t="shared" si="22"/>
        <v/>
      </c>
      <c r="E62" s="197"/>
      <c r="F62" s="197"/>
      <c r="G62" s="197"/>
      <c r="H62" s="197"/>
      <c r="I62" s="197"/>
      <c r="K62" s="292" t="str">
        <f>IF(B62="","",VLOOKUP(VLOOKUP(D62,$AK$7:$AL$14,2,FALSE),'Eclass OPE Rates'!$A$26:$F$33,2,FALSE))</f>
        <v/>
      </c>
      <c r="L62" s="208">
        <f>IF($D62="",0,ROUND(L18*VLOOKUP(VLOOKUP($D62,'R&amp;R Generic Detailed Budget'!$AK$7:$AL$14,2,FALSE),'Eclass OPE Rates'!$A$26:$F$33,2,FALSE),0))</f>
        <v>0</v>
      </c>
      <c r="M62" s="208">
        <f>IF($D62="",0,ROUND(M18*VLOOKUP(VLOOKUP($D62,'R&amp;R Generic Detailed Budget'!$AK$7:$AL$14,2,FALSE),'Eclass OPE Rates'!$A$26:$F$33,3,FALSE),0))</f>
        <v>0</v>
      </c>
      <c r="N62" s="208">
        <f>IF($D62="",0,ROUND(N18*VLOOKUP(VLOOKUP($D62,'R&amp;R Generic Detailed Budget'!$AK$7:$AL$14,2,FALSE),'Eclass OPE Rates'!$A$26:$F$33,4,FALSE),0))</f>
        <v>0</v>
      </c>
      <c r="O62" s="208">
        <f>IF($D62="",0,ROUND(O18*VLOOKUP(VLOOKUP($D62,'R&amp;R Generic Detailed Budget'!$AK$7:$AL$14,2,FALSE),'Eclass OPE Rates'!$A$26:$F$33,5,FALSE),0))</f>
        <v>0</v>
      </c>
      <c r="P62" s="208">
        <f>IF($D62="",0,ROUND(P18*VLOOKUP(VLOOKUP($D62,'R&amp;R Generic Detailed Budget'!$AK$7:$AL$14,2,FALSE),'Eclass OPE Rates'!$A$26:$F$33,6,FALSE),0))</f>
        <v>0</v>
      </c>
      <c r="Q62" s="185">
        <f t="shared" si="21"/>
        <v>0</v>
      </c>
      <c r="S62" s="334"/>
      <c r="T62" s="334"/>
      <c r="U62" s="334"/>
      <c r="V62" s="334"/>
      <c r="W62" s="334"/>
      <c r="X62" s="334"/>
      <c r="Y62" s="334"/>
    </row>
    <row r="63" spans="1:25" x14ac:dyDescent="0.2">
      <c r="A63" s="169"/>
      <c r="B63" s="206" t="str">
        <f t="shared" si="20"/>
        <v/>
      </c>
      <c r="C63" s="343" t="str">
        <f>IF(C19="","",C19)</f>
        <v/>
      </c>
      <c r="D63" s="90" t="str">
        <f t="shared" si="22"/>
        <v/>
      </c>
      <c r="E63" s="197"/>
      <c r="F63" s="197"/>
      <c r="G63" s="197"/>
      <c r="H63" s="197"/>
      <c r="I63" s="197"/>
      <c r="K63" s="292" t="str">
        <f>IF(B63="","",VLOOKUP(VLOOKUP(D63,$AK$7:$AL$14,2,FALSE),'Eclass OPE Rates'!$A$26:$F$33,2,FALSE))</f>
        <v/>
      </c>
      <c r="L63" s="208">
        <f>IF($D63="",0,ROUND(L19*VLOOKUP(VLOOKUP($D63,'R&amp;R Generic Detailed Budget'!$AK$7:$AL$14,2,FALSE),'Eclass OPE Rates'!$A$26:$F$33,2,FALSE),0))</f>
        <v>0</v>
      </c>
      <c r="M63" s="208">
        <f>IF($D63="",0,ROUND(M19*VLOOKUP(VLOOKUP($D63,'R&amp;R Generic Detailed Budget'!$AK$7:$AL$14,2,FALSE),'Eclass OPE Rates'!$A$26:$F$33,3,FALSE),0))</f>
        <v>0</v>
      </c>
      <c r="N63" s="208">
        <f>IF($D63="",0,ROUND(N19*VLOOKUP(VLOOKUP($D63,'R&amp;R Generic Detailed Budget'!$AK$7:$AL$14,2,FALSE),'Eclass OPE Rates'!$A$26:$F$33,4,FALSE),0))</f>
        <v>0</v>
      </c>
      <c r="O63" s="208">
        <f>IF($D63="",0,ROUND(O19*VLOOKUP(VLOOKUP($D63,'R&amp;R Generic Detailed Budget'!$AK$7:$AL$14,2,FALSE),'Eclass OPE Rates'!$A$26:$F$33,5,FALSE),0))</f>
        <v>0</v>
      </c>
      <c r="P63" s="208">
        <f>IF($D63="",0,ROUND(P19*VLOOKUP(VLOOKUP($D63,'R&amp;R Generic Detailed Budget'!$AK$7:$AL$14,2,FALSE),'Eclass OPE Rates'!$A$26:$F$33,6,FALSE),0))</f>
        <v>0</v>
      </c>
      <c r="Q63" s="185">
        <f t="shared" si="21"/>
        <v>0</v>
      </c>
      <c r="S63" s="334"/>
      <c r="T63" s="334" t="s">
        <v>25</v>
      </c>
      <c r="U63" s="334"/>
      <c r="V63" s="334"/>
      <c r="W63" s="334"/>
      <c r="X63" s="334"/>
      <c r="Y63" s="334"/>
    </row>
    <row r="64" spans="1:25" x14ac:dyDescent="0.2">
      <c r="A64" s="169"/>
      <c r="B64" s="206" t="str">
        <f t="shared" si="20"/>
        <v/>
      </c>
      <c r="C64" s="343" t="str">
        <f t="shared" si="20"/>
        <v/>
      </c>
      <c r="D64" s="90" t="str">
        <f t="shared" si="22"/>
        <v/>
      </c>
      <c r="E64" s="197"/>
      <c r="F64" s="197"/>
      <c r="G64" s="197"/>
      <c r="H64" s="197"/>
      <c r="I64" s="197"/>
      <c r="K64" s="292" t="str">
        <f>IF(B64="","",VLOOKUP(VLOOKUP(D64,$AK$7:$AL$14,2,FALSE),'Eclass OPE Rates'!$A$26:$F$33,2,FALSE))</f>
        <v/>
      </c>
      <c r="L64" s="208">
        <f>IF($D64="",0,ROUND(L20*VLOOKUP(VLOOKUP($D64,'R&amp;R Generic Detailed Budget'!$AK$7:$AL$14,2,FALSE),'Eclass OPE Rates'!$A$26:$F$33,2,FALSE),0))</f>
        <v>0</v>
      </c>
      <c r="M64" s="208">
        <f>IF($D64="",0,ROUND(M20*VLOOKUP(VLOOKUP($D64,'R&amp;R Generic Detailed Budget'!$AK$7:$AL$14,2,FALSE),'Eclass OPE Rates'!$A$26:$F$33,3,FALSE),0))</f>
        <v>0</v>
      </c>
      <c r="N64" s="208">
        <f>IF($D64="",0,ROUND(N20*VLOOKUP(VLOOKUP($D64,'R&amp;R Generic Detailed Budget'!$AK$7:$AL$14,2,FALSE),'Eclass OPE Rates'!$A$26:$F$33,4,FALSE),0))</f>
        <v>0</v>
      </c>
      <c r="O64" s="208">
        <f>IF($D64="",0,ROUND(O20*VLOOKUP(VLOOKUP($D64,'R&amp;R Generic Detailed Budget'!$AK$7:$AL$14,2,FALSE),'Eclass OPE Rates'!$A$26:$F$33,5,FALSE),0))</f>
        <v>0</v>
      </c>
      <c r="P64" s="208">
        <f>IF($D64="",0,ROUND(P20*VLOOKUP(VLOOKUP($D64,'R&amp;R Generic Detailed Budget'!$AK$7:$AL$14,2,FALSE),'Eclass OPE Rates'!$A$26:$F$33,6,FALSE),0))</f>
        <v>0</v>
      </c>
      <c r="Q64" s="185">
        <f t="shared" si="21"/>
        <v>0</v>
      </c>
      <c r="S64" s="334"/>
      <c r="T64" s="334"/>
      <c r="U64" s="334"/>
      <c r="V64" s="334"/>
      <c r="W64" s="334"/>
      <c r="X64" s="334"/>
      <c r="Y64" s="334"/>
    </row>
    <row r="65" spans="1:25" x14ac:dyDescent="0.2">
      <c r="A65" s="169"/>
      <c r="B65" s="206" t="str">
        <f t="shared" si="20"/>
        <v/>
      </c>
      <c r="C65" s="343" t="str">
        <f t="shared" si="20"/>
        <v/>
      </c>
      <c r="D65" s="90" t="str">
        <f t="shared" si="22"/>
        <v/>
      </c>
      <c r="E65" s="197"/>
      <c r="F65" s="197"/>
      <c r="G65" s="197"/>
      <c r="H65" s="197"/>
      <c r="I65" s="197"/>
      <c r="K65" s="292" t="str">
        <f>IF(B65="","",VLOOKUP(VLOOKUP(D65,$AK$7:$AL$14,2,FALSE),'Eclass OPE Rates'!$A$26:$F$33,2,FALSE))</f>
        <v/>
      </c>
      <c r="L65" s="208">
        <f>IF($D65="",0,ROUND(L21*VLOOKUP(VLOOKUP($D65,'R&amp;R Generic Detailed Budget'!$AK$7:$AL$14,2,FALSE),'Eclass OPE Rates'!$A$26:$F$33,2,FALSE),0))</f>
        <v>0</v>
      </c>
      <c r="M65" s="208">
        <f>IF($D65="",0,ROUND(M21*VLOOKUP(VLOOKUP($D65,'R&amp;R Generic Detailed Budget'!$AK$7:$AL$14,2,FALSE),'Eclass OPE Rates'!$A$26:$F$33,3,FALSE),0))</f>
        <v>0</v>
      </c>
      <c r="N65" s="208">
        <f>IF($D65="",0,ROUND(N21*VLOOKUP(VLOOKUP($D65,'R&amp;R Generic Detailed Budget'!$AK$7:$AL$14,2,FALSE),'Eclass OPE Rates'!$A$26:$F$33,4,FALSE),0))</f>
        <v>0</v>
      </c>
      <c r="O65" s="208">
        <f>IF($D65="",0,ROUND(O21*VLOOKUP(VLOOKUP($D65,'R&amp;R Generic Detailed Budget'!$AK$7:$AL$14,2,FALSE),'Eclass OPE Rates'!$A$26:$F$33,5,FALSE),0))</f>
        <v>0</v>
      </c>
      <c r="P65" s="208">
        <f>IF($D65="",0,ROUND(P21*VLOOKUP(VLOOKUP($D65,'R&amp;R Generic Detailed Budget'!$AK$7:$AL$14,2,FALSE),'Eclass OPE Rates'!$A$26:$F$33,6,FALSE),0))</f>
        <v>0</v>
      </c>
      <c r="Q65" s="185">
        <f t="shared" si="21"/>
        <v>0</v>
      </c>
      <c r="S65" s="334"/>
      <c r="T65" s="334"/>
      <c r="U65" s="334"/>
      <c r="V65" s="334"/>
      <c r="W65" s="334"/>
      <c r="X65" s="334"/>
      <c r="Y65" s="334"/>
    </row>
    <row r="66" spans="1:25" x14ac:dyDescent="0.2">
      <c r="A66" s="169"/>
      <c r="B66" s="206" t="str">
        <f t="shared" si="20"/>
        <v/>
      </c>
      <c r="C66" s="343" t="str">
        <f t="shared" si="20"/>
        <v/>
      </c>
      <c r="D66" s="90" t="str">
        <f t="shared" si="22"/>
        <v/>
      </c>
      <c r="E66" s="197"/>
      <c r="F66" s="197"/>
      <c r="G66" s="197"/>
      <c r="H66" s="197"/>
      <c r="I66" s="197"/>
      <c r="K66" s="292" t="str">
        <f>IF(B66="","",VLOOKUP(VLOOKUP(D66,$AK$7:$AL$14,2,FALSE),'Eclass OPE Rates'!$A$26:$F$33,2,FALSE))</f>
        <v/>
      </c>
      <c r="L66" s="208">
        <f>IF($D66="",0,ROUND(L22*VLOOKUP(VLOOKUP($D66,'R&amp;R Generic Detailed Budget'!$AK$7:$AL$14,2,FALSE),'Eclass OPE Rates'!$A$26:$F$33,2,FALSE),0))</f>
        <v>0</v>
      </c>
      <c r="M66" s="208">
        <f>IF($D66="",0,ROUND(M22*VLOOKUP(VLOOKUP($D66,'R&amp;R Generic Detailed Budget'!$AK$7:$AL$14,2,FALSE),'Eclass OPE Rates'!$A$26:$F$33,3,FALSE),0))</f>
        <v>0</v>
      </c>
      <c r="N66" s="208">
        <f>IF($D66="",0,ROUND(N22*VLOOKUP(VLOOKUP($D66,'R&amp;R Generic Detailed Budget'!$AK$7:$AL$14,2,FALSE),'Eclass OPE Rates'!$A$26:$F$33,4,FALSE),0))</f>
        <v>0</v>
      </c>
      <c r="O66" s="208">
        <f>IF($D66="",0,ROUND(O22*VLOOKUP(VLOOKUP($D66,'R&amp;R Generic Detailed Budget'!$AK$7:$AL$14,2,FALSE),'Eclass OPE Rates'!$A$26:$F$33,5,FALSE),0))</f>
        <v>0</v>
      </c>
      <c r="P66" s="208">
        <f>IF($D66="",0,ROUND(P22*VLOOKUP(VLOOKUP($D66,'R&amp;R Generic Detailed Budget'!$AK$7:$AL$14,2,FALSE),'Eclass OPE Rates'!$A$26:$F$33,6,FALSE),0))</f>
        <v>0</v>
      </c>
      <c r="Q66" s="185">
        <f t="shared" si="21"/>
        <v>0</v>
      </c>
      <c r="S66" s="334"/>
      <c r="T66" s="334"/>
      <c r="U66" s="334"/>
      <c r="V66" s="334"/>
      <c r="W66" s="334"/>
      <c r="X66" s="334"/>
      <c r="Y66" s="334"/>
    </row>
    <row r="67" spans="1:25" x14ac:dyDescent="0.2">
      <c r="A67" s="169"/>
      <c r="B67" s="206" t="str">
        <f t="shared" si="20"/>
        <v/>
      </c>
      <c r="C67" s="343" t="str">
        <f t="shared" si="20"/>
        <v/>
      </c>
      <c r="D67" s="90" t="str">
        <f t="shared" si="22"/>
        <v/>
      </c>
      <c r="E67" s="197"/>
      <c r="F67" s="197"/>
      <c r="G67" s="197"/>
      <c r="H67" s="197"/>
      <c r="I67" s="197"/>
      <c r="K67" s="292" t="str">
        <f>IF(B67="","",VLOOKUP(VLOOKUP(D67,$AK$7:$AL$14,2,FALSE),'Eclass OPE Rates'!$A$26:$F$33,2,FALSE))</f>
        <v/>
      </c>
      <c r="L67" s="208">
        <f>IF($D67="",0,ROUND(L23*VLOOKUP(VLOOKUP($D67,'R&amp;R Generic Detailed Budget'!$AK$7:$AL$14,2,FALSE),'Eclass OPE Rates'!$A$26:$F$33,2,FALSE),0))</f>
        <v>0</v>
      </c>
      <c r="M67" s="208">
        <f>IF($D67="",0,ROUND(M23*VLOOKUP(VLOOKUP($D67,'R&amp;R Generic Detailed Budget'!$AK$7:$AL$14,2,FALSE),'Eclass OPE Rates'!$A$26:$F$33,3,FALSE),0))</f>
        <v>0</v>
      </c>
      <c r="N67" s="208">
        <f>IF($D67="",0,ROUND(N23*VLOOKUP(VLOOKUP($D67,'R&amp;R Generic Detailed Budget'!$AK$7:$AL$14,2,FALSE),'Eclass OPE Rates'!$A$26:$F$33,4,FALSE),0))</f>
        <v>0</v>
      </c>
      <c r="O67" s="208">
        <f>IF($D67="",0,ROUND(O23*VLOOKUP(VLOOKUP($D67,'R&amp;R Generic Detailed Budget'!$AK$7:$AL$14,2,FALSE),'Eclass OPE Rates'!$A$26:$F$33,5,FALSE),0))</f>
        <v>0</v>
      </c>
      <c r="P67" s="208">
        <f>IF($D67="",0,ROUND(P23*VLOOKUP(VLOOKUP($D67,'R&amp;R Generic Detailed Budget'!$AK$7:$AL$14,2,FALSE),'Eclass OPE Rates'!$A$26:$F$33,6,FALSE),0))</f>
        <v>0</v>
      </c>
      <c r="Q67" s="185">
        <f t="shared" si="21"/>
        <v>0</v>
      </c>
      <c r="S67" s="334"/>
      <c r="T67" s="334"/>
      <c r="U67" s="334"/>
      <c r="V67" s="334"/>
      <c r="W67" s="334"/>
      <c r="X67" s="334"/>
      <c r="Y67" s="334"/>
    </row>
    <row r="68" spans="1:25" x14ac:dyDescent="0.2">
      <c r="A68" s="169"/>
      <c r="B68" s="206" t="str">
        <f t="shared" si="20"/>
        <v/>
      </c>
      <c r="C68" s="343" t="str">
        <f t="shared" si="20"/>
        <v/>
      </c>
      <c r="D68" s="90" t="str">
        <f t="shared" si="22"/>
        <v/>
      </c>
      <c r="E68" s="197"/>
      <c r="F68" s="197"/>
      <c r="G68" s="197"/>
      <c r="H68" s="197"/>
      <c r="I68" s="197"/>
      <c r="K68" s="292" t="str">
        <f>IF(B68="","",VLOOKUP(VLOOKUP(D68,$AK$7:$AL$14,2,FALSE),'Eclass OPE Rates'!$A$26:$F$33,2,FALSE))</f>
        <v/>
      </c>
      <c r="L68" s="373">
        <f>IF($D68="",0,ROUND(L24*VLOOKUP(VLOOKUP($D68,'R&amp;R Generic Detailed Budget'!$AK$7:$AL$14,2,FALSE),'Eclass OPE Rates'!$A$26:$F$33,2,FALSE),0))</f>
        <v>0</v>
      </c>
      <c r="M68" s="373">
        <f>IF($D68="",0,ROUND(M24*VLOOKUP(VLOOKUP($D68,'R&amp;R Generic Detailed Budget'!$AK$7:$AL$14,2,FALSE),'Eclass OPE Rates'!$A$26:$F$33,3,FALSE),0))</f>
        <v>0</v>
      </c>
      <c r="N68" s="373">
        <f>IF($D68="",0,ROUND(N24*VLOOKUP(VLOOKUP($D68,'R&amp;R Generic Detailed Budget'!$AK$7:$AL$14,2,FALSE),'Eclass OPE Rates'!$A$26:$F$33,4,FALSE),0))</f>
        <v>0</v>
      </c>
      <c r="O68" s="373">
        <f>IF($D68="",0,ROUND(O24*VLOOKUP(VLOOKUP($D68,'R&amp;R Generic Detailed Budget'!$AK$7:$AL$14,2,FALSE),'Eclass OPE Rates'!$A$26:$F$33,5,FALSE),0))</f>
        <v>0</v>
      </c>
      <c r="P68" s="373">
        <f>IF($D68="",0,ROUND(P24*VLOOKUP(VLOOKUP($D68,'R&amp;R Generic Detailed Budget'!$AK$7:$AL$14,2,FALSE),'Eclass OPE Rates'!$A$26:$F$33,6,FALSE),0))</f>
        <v>0</v>
      </c>
      <c r="Q68" s="374">
        <f>SUM(L68:P68)</f>
        <v>0</v>
      </c>
      <c r="R68" s="293"/>
      <c r="S68" s="334"/>
      <c r="T68" s="334"/>
      <c r="U68" s="334"/>
      <c r="V68" s="334"/>
      <c r="W68" s="334"/>
      <c r="X68" s="334"/>
      <c r="Y68" s="334"/>
    </row>
    <row r="69" spans="1:25" x14ac:dyDescent="0.2">
      <c r="A69" s="169"/>
      <c r="B69" s="206" t="str">
        <f t="shared" si="20"/>
        <v/>
      </c>
      <c r="C69" s="343" t="str">
        <f>IF(C26="","",C26)</f>
        <v/>
      </c>
      <c r="D69" s="90" t="str">
        <f t="shared" si="22"/>
        <v/>
      </c>
      <c r="E69" s="197"/>
      <c r="F69" s="197"/>
      <c r="G69" s="197"/>
      <c r="H69" s="197"/>
      <c r="I69" s="197"/>
      <c r="K69" s="292" t="str">
        <f>IF(B69="","",VLOOKUP(VLOOKUP(D69,$AK$7:$AL$14,2,FALSE),'Eclass OPE Rates'!$A$26:$F$33,2,FALSE))</f>
        <v/>
      </c>
      <c r="L69" s="373">
        <f>IF($D69="",0,ROUND(L25*VLOOKUP(VLOOKUP($D69,'R&amp;R Generic Detailed Budget'!$AK$7:$AL$14,2,FALSE),'Eclass OPE Rates'!$A$26:$F$33,2,FALSE),0))</f>
        <v>0</v>
      </c>
      <c r="M69" s="373">
        <f>IF($D69="",0,ROUND(M25*VLOOKUP(VLOOKUP($D69,'R&amp;R Generic Detailed Budget'!$AK$7:$AL$14,2,FALSE),'Eclass OPE Rates'!$A$26:$F$33,3,FALSE),0))</f>
        <v>0</v>
      </c>
      <c r="N69" s="373">
        <f>IF($D69="",0,ROUND(N25*VLOOKUP(VLOOKUP($D69,'R&amp;R Generic Detailed Budget'!$AK$7:$AL$14,2,FALSE),'Eclass OPE Rates'!$A$26:$F$33,4,FALSE),0))</f>
        <v>0</v>
      </c>
      <c r="O69" s="373">
        <f>IF($D69="",0,ROUND(O25*VLOOKUP(VLOOKUP($D69,'R&amp;R Generic Detailed Budget'!$AK$7:$AL$14,2,FALSE),'Eclass OPE Rates'!$A$26:$F$33,5,FALSE),0))</f>
        <v>0</v>
      </c>
      <c r="P69" s="373">
        <f>IF($D69="",0,ROUND(P25*VLOOKUP(VLOOKUP($D69,'R&amp;R Generic Detailed Budget'!$AK$7:$AL$14,2,FALSE),'Eclass OPE Rates'!$A$26:$F$33,6,FALSE),0))</f>
        <v>0</v>
      </c>
      <c r="Q69" s="374">
        <f>SUM(L69:P69)</f>
        <v>0</v>
      </c>
      <c r="S69" s="334"/>
      <c r="T69" s="334"/>
      <c r="U69" s="334"/>
      <c r="V69" s="334"/>
      <c r="W69" s="334"/>
      <c r="X69" s="334"/>
      <c r="Y69" s="334"/>
    </row>
    <row r="70" spans="1:25" x14ac:dyDescent="0.2">
      <c r="A70" s="169"/>
      <c r="B70" s="206" t="str">
        <f t="shared" si="20"/>
        <v/>
      </c>
      <c r="C70" s="343" t="str">
        <f>IF(C27="","",C27)</f>
        <v/>
      </c>
      <c r="D70" s="90" t="str">
        <f t="shared" si="22"/>
        <v/>
      </c>
      <c r="E70" s="197"/>
      <c r="F70" s="197"/>
      <c r="G70" s="197"/>
      <c r="H70" s="197"/>
      <c r="I70" s="197"/>
      <c r="K70" s="292" t="str">
        <f>IF(B70="","",VLOOKUP(VLOOKUP(D70,$AK$7:$AL$14,2,FALSE),'Eclass OPE Rates'!$A$26:$F$33,2,FALSE))</f>
        <v/>
      </c>
      <c r="L70" s="373">
        <f>IF($D70="",0,ROUND(L26*VLOOKUP(VLOOKUP($D70,'R&amp;R Generic Detailed Budget'!$AK$7:$AL$14,2,FALSE),'Eclass OPE Rates'!$A$26:$F$33,2,FALSE),0))</f>
        <v>0</v>
      </c>
      <c r="M70" s="373">
        <f>IF($D70="",0,ROUND(M26*VLOOKUP(VLOOKUP($D70,'R&amp;R Generic Detailed Budget'!$AK$7:$AL$14,2,FALSE),'Eclass OPE Rates'!$A$26:$F$33,3,FALSE),0))</f>
        <v>0</v>
      </c>
      <c r="N70" s="373">
        <f>IF($D70="",0,ROUND(N26*VLOOKUP(VLOOKUP($D70,'R&amp;R Generic Detailed Budget'!$AK$7:$AL$14,2,FALSE),'Eclass OPE Rates'!$A$26:$F$33,4,FALSE),0))</f>
        <v>0</v>
      </c>
      <c r="O70" s="373">
        <f>IF($D70="",0,ROUND(O26*VLOOKUP(VLOOKUP($D70,'R&amp;R Generic Detailed Budget'!$AK$7:$AL$14,2,FALSE),'Eclass OPE Rates'!$A$26:$F$33,5,FALSE),0))</f>
        <v>0</v>
      </c>
      <c r="P70" s="373">
        <f>IF($D70="",0,ROUND(P26*VLOOKUP(VLOOKUP($D70,'R&amp;R Generic Detailed Budget'!$AK$7:$AL$14,2,FALSE),'Eclass OPE Rates'!$A$26:$F$33,6,FALSE),0))</f>
        <v>0</v>
      </c>
      <c r="Q70" s="374">
        <f>SUM(L70:P70)</f>
        <v>0</v>
      </c>
      <c r="S70" s="334"/>
      <c r="T70" s="334"/>
      <c r="U70" s="334"/>
      <c r="V70" s="334"/>
      <c r="W70" s="334"/>
      <c r="X70" s="334"/>
      <c r="Y70" s="334"/>
    </row>
    <row r="71" spans="1:25" x14ac:dyDescent="0.2">
      <c r="A71" s="169"/>
      <c r="B71" s="206" t="str">
        <f t="shared" si="20"/>
        <v/>
      </c>
      <c r="C71" s="343" t="str">
        <f t="shared" si="20"/>
        <v/>
      </c>
      <c r="D71" s="90" t="str">
        <f t="shared" si="22"/>
        <v/>
      </c>
      <c r="E71" s="197"/>
      <c r="F71" s="197"/>
      <c r="G71" s="197"/>
      <c r="H71" s="197"/>
      <c r="I71" s="197"/>
      <c r="K71" s="292" t="str">
        <f>IF(B71="","",VLOOKUP(VLOOKUP(D71,$AK$7:$AL$14,2,FALSE),'Eclass OPE Rates'!$A$26:$F$33,2,FALSE))</f>
        <v/>
      </c>
      <c r="L71" s="373">
        <f>IF($D71="",0,ROUND(L27*VLOOKUP(VLOOKUP($D71,'R&amp;R Generic Detailed Budget'!$AK$7:$AL$14,2,FALSE),'Eclass OPE Rates'!$A$26:$F$33,2,FALSE),0))</f>
        <v>0</v>
      </c>
      <c r="M71" s="373">
        <f>IF($D71="",0,ROUND(M27*VLOOKUP(VLOOKUP($D71,'R&amp;R Generic Detailed Budget'!$AK$7:$AL$14,2,FALSE),'Eclass OPE Rates'!$A$26:$F$33,3,FALSE),0))</f>
        <v>0</v>
      </c>
      <c r="N71" s="373">
        <f>IF($D71="",0,ROUND(N27*VLOOKUP(VLOOKUP($D71,'R&amp;R Generic Detailed Budget'!$AK$7:$AL$14,2,FALSE),'Eclass OPE Rates'!$A$26:$F$33,4,FALSE),0))</f>
        <v>0</v>
      </c>
      <c r="O71" s="373">
        <f>IF($D71="",0,ROUND(O27*VLOOKUP(VLOOKUP($D71,'R&amp;R Generic Detailed Budget'!$AK$7:$AL$14,2,FALSE),'Eclass OPE Rates'!$A$26:$F$33,5,FALSE),0))</f>
        <v>0</v>
      </c>
      <c r="P71" s="373">
        <f>IF($D71="",0,ROUND(P27*VLOOKUP(VLOOKUP($D71,'R&amp;R Generic Detailed Budget'!$AK$7:$AL$14,2,FALSE),'Eclass OPE Rates'!$A$26:$F$33,6,FALSE),0))</f>
        <v>0</v>
      </c>
      <c r="Q71" s="374">
        <f>SUM(L71:P71)</f>
        <v>0</v>
      </c>
      <c r="S71" s="334"/>
      <c r="T71" s="334"/>
      <c r="U71" s="334"/>
      <c r="V71" s="334"/>
      <c r="W71" s="334"/>
      <c r="X71" s="334"/>
      <c r="Y71" s="334"/>
    </row>
    <row r="72" spans="1:25" ht="14.25" x14ac:dyDescent="0.2">
      <c r="A72" s="169"/>
      <c r="B72" s="176" t="s">
        <v>31</v>
      </c>
      <c r="C72" s="176"/>
      <c r="D72" s="205"/>
      <c r="E72" s="182"/>
      <c r="F72" s="182"/>
      <c r="G72" s="182"/>
      <c r="H72" s="182"/>
      <c r="I72" s="182"/>
      <c r="J72" s="205"/>
      <c r="K72" s="292"/>
      <c r="L72" s="208"/>
      <c r="M72" s="208"/>
      <c r="N72" s="208"/>
      <c r="O72" s="208"/>
      <c r="P72" s="208"/>
      <c r="Q72" s="186"/>
      <c r="S72" s="334"/>
      <c r="T72" s="334"/>
      <c r="U72" s="334"/>
      <c r="V72" s="334"/>
      <c r="W72" s="334" t="s">
        <v>25</v>
      </c>
      <c r="X72" s="334"/>
      <c r="Y72" s="334"/>
    </row>
    <row r="73" spans="1:25" ht="14.25" x14ac:dyDescent="0.2">
      <c r="A73" s="169"/>
      <c r="B73" s="176" t="s">
        <v>23</v>
      </c>
      <c r="C73" s="176"/>
      <c r="D73" s="205"/>
      <c r="E73" s="182"/>
      <c r="F73" s="182"/>
      <c r="G73" s="182"/>
      <c r="H73" s="182"/>
      <c r="I73" s="182"/>
      <c r="J73" s="205"/>
      <c r="K73" s="292"/>
      <c r="L73" s="208"/>
      <c r="M73" s="208"/>
      <c r="N73" s="208"/>
      <c r="O73" s="208"/>
      <c r="P73" s="208"/>
      <c r="Q73" s="186"/>
    </row>
    <row r="74" spans="1:25" x14ac:dyDescent="0.2">
      <c r="A74" s="169"/>
      <c r="B74" s="188" t="s">
        <v>28</v>
      </c>
      <c r="C74" s="188"/>
      <c r="D74" s="282" t="s">
        <v>150</v>
      </c>
      <c r="E74" s="182"/>
      <c r="F74" s="182"/>
      <c r="G74" s="182"/>
      <c r="H74" s="182"/>
      <c r="I74" s="182"/>
      <c r="J74" s="205"/>
      <c r="K74" s="292"/>
      <c r="L74" s="208"/>
      <c r="M74" s="208"/>
      <c r="N74" s="208"/>
      <c r="O74" s="208"/>
      <c r="P74" s="208"/>
      <c r="Q74" s="186"/>
    </row>
    <row r="75" spans="1:25" x14ac:dyDescent="0.2">
      <c r="A75" s="169"/>
      <c r="B75" s="206" t="str">
        <f>IF(B30="","",B30)</f>
        <v/>
      </c>
      <c r="C75" s="343" t="str">
        <f>IF(C30="","",C30)</f>
        <v xml:space="preserve"> </v>
      </c>
      <c r="D75" s="307" t="str">
        <f>IF(D30="","",D30)</f>
        <v/>
      </c>
      <c r="E75" s="182"/>
      <c r="F75" s="182"/>
      <c r="G75" s="182"/>
      <c r="H75" s="182"/>
      <c r="I75" s="182"/>
      <c r="K75" s="292" t="str">
        <f>IF(B75="","",VLOOKUP(VLOOKUP(D75,$AK$7:$AL$15,2,FALSE),'Eclass OPE Rates'!$A$26:$F$33,2,FALSE))</f>
        <v/>
      </c>
      <c r="L75" s="208">
        <f>IF($D75="",0,ROUND(L30*VLOOKUP(VLOOKUP($D75,'R&amp;R Generic Detailed Budget'!$AK$7:$AL$15,2,FALSE),'Eclass OPE Rates'!$A$26:$F$33,2,FALSE),0))</f>
        <v>0</v>
      </c>
      <c r="M75" s="208">
        <f>IF($D75="",0,ROUND(M30*VLOOKUP(VLOOKUP($D75,'R&amp;R Generic Detailed Budget'!$AK$7:$AL$15,2,FALSE),'Eclass OPE Rates'!$A$26:$F$33,3,FALSE),0))</f>
        <v>0</v>
      </c>
      <c r="N75" s="208">
        <f>IF($D75="",0,ROUND(N30*VLOOKUP(VLOOKUP($D75,'R&amp;R Generic Detailed Budget'!$AK$7:$AL$15,2,FALSE),'Eclass OPE Rates'!$A$26:$F$33,4,FALSE),0))</f>
        <v>0</v>
      </c>
      <c r="O75" s="208">
        <f>IF($D75="",0,ROUND(O30*VLOOKUP(VLOOKUP($D75,'R&amp;R Generic Detailed Budget'!$AK$7:$AL$15,2,FALSE),'Eclass OPE Rates'!$A$26:$F$33,5,FALSE),0))</f>
        <v>0</v>
      </c>
      <c r="P75" s="208">
        <f>IF($D75="",0,ROUND(P30*VLOOKUP(VLOOKUP($D75,'R&amp;R Generic Detailed Budget'!$AK$7:$AL$15,2,FALSE),'Eclass OPE Rates'!$A$26:$F$33,6,FALSE),0))</f>
        <v>0</v>
      </c>
      <c r="Q75" s="186">
        <f t="shared" ref="Q75:Q80" si="23">SUM(L75:P75)</f>
        <v>0</v>
      </c>
    </row>
    <row r="76" spans="1:25" x14ac:dyDescent="0.2">
      <c r="A76" s="169"/>
      <c r="B76" s="206" t="str">
        <f t="shared" ref="B76:C80" si="24">IF(B31="","",B31)</f>
        <v/>
      </c>
      <c r="C76" s="343" t="str">
        <f t="shared" si="24"/>
        <v xml:space="preserve"> </v>
      </c>
      <c r="D76" s="307" t="str">
        <f>IF(D31="","",D31)</f>
        <v/>
      </c>
      <c r="E76" s="182"/>
      <c r="F76" s="182"/>
      <c r="G76" s="182"/>
      <c r="H76" s="182"/>
      <c r="I76" s="182"/>
      <c r="K76" s="292" t="str">
        <f>IF(B76="","",VLOOKUP(VLOOKUP(D76,$AK$7:$AL$15,2,FALSE),'Eclass OPE Rates'!$A$26:$F$33,2,FALSE))</f>
        <v/>
      </c>
      <c r="L76" s="208">
        <f>IF($D76="",0,ROUND(L31*VLOOKUP(VLOOKUP($D76,'R&amp;R Generic Detailed Budget'!$AK$7:$AL$15,2,FALSE),'Eclass OPE Rates'!$A$26:$F$33,2,FALSE),0))</f>
        <v>0</v>
      </c>
      <c r="M76" s="208">
        <f>IF($D76="",0,ROUND(M31*VLOOKUP(VLOOKUP($D76,'R&amp;R Generic Detailed Budget'!$AK$7:$AL$15,2,FALSE),'Eclass OPE Rates'!$A$26:$F$33,3,FALSE),0))</f>
        <v>0</v>
      </c>
      <c r="N76" s="208">
        <f>IF($D76="",0,ROUND(N31*VLOOKUP(VLOOKUP($D76,'R&amp;R Generic Detailed Budget'!$AK$7:$AL$15,2,FALSE),'Eclass OPE Rates'!$A$26:$F$33,4,FALSE),0))</f>
        <v>0</v>
      </c>
      <c r="O76" s="208">
        <f>IF($D76="",0,ROUND(O31*VLOOKUP(VLOOKUP($D76,'R&amp;R Generic Detailed Budget'!$AK$7:$AL$15,2,FALSE),'Eclass OPE Rates'!$A$26:$F$33,5,FALSE),0))</f>
        <v>0</v>
      </c>
      <c r="P76" s="208">
        <f>IF($D76="",0,ROUND(P31*VLOOKUP(VLOOKUP($D76,'R&amp;R Generic Detailed Budget'!$AK$7:$AL$15,2,FALSE),'Eclass OPE Rates'!$A$26:$F$33,6,FALSE),0))</f>
        <v>0</v>
      </c>
      <c r="Q76" s="186">
        <f t="shared" si="23"/>
        <v>0</v>
      </c>
      <c r="R76" s="293"/>
    </row>
    <row r="77" spans="1:25" x14ac:dyDescent="0.2">
      <c r="A77" s="169"/>
      <c r="B77" s="206" t="str">
        <f t="shared" si="24"/>
        <v/>
      </c>
      <c r="C77" s="343" t="str">
        <f t="shared" si="24"/>
        <v xml:space="preserve"> </v>
      </c>
      <c r="D77" s="307" t="str">
        <f>IF(D32="","",D32)</f>
        <v/>
      </c>
      <c r="E77" s="182"/>
      <c r="F77" s="182"/>
      <c r="G77" s="182"/>
      <c r="H77" s="182"/>
      <c r="I77" s="182"/>
      <c r="K77" s="292" t="str">
        <f>IF(B77="","",VLOOKUP(VLOOKUP(D77,$AK$7:$AL$15,2,FALSE),'Eclass OPE Rates'!$A$26:$F$33,2,FALSE))</f>
        <v/>
      </c>
      <c r="L77" s="208">
        <f>IF($D77="",0,ROUND(L32*VLOOKUP(VLOOKUP($D77,'R&amp;R Generic Detailed Budget'!$AK$7:$AL$15,2,FALSE),'Eclass OPE Rates'!$A$26:$F$33,2,FALSE),0))</f>
        <v>0</v>
      </c>
      <c r="M77" s="208">
        <f>IF($D77="",0,ROUND(M32*VLOOKUP(VLOOKUP($D77,'R&amp;R Generic Detailed Budget'!$AK$7:$AL$15,2,FALSE),'Eclass OPE Rates'!$A$26:$F$33,3,FALSE),0))</f>
        <v>0</v>
      </c>
      <c r="N77" s="208">
        <f>IF($D77="",0,ROUND(N32*VLOOKUP(VLOOKUP($D77,'R&amp;R Generic Detailed Budget'!$AK$7:$AL$15,2,FALSE),'Eclass OPE Rates'!$A$26:$F$33,4,FALSE),0))</f>
        <v>0</v>
      </c>
      <c r="O77" s="208">
        <f>IF($D77="",0,ROUND(O32*VLOOKUP(VLOOKUP($D77,'R&amp;R Generic Detailed Budget'!$AK$7:$AL$15,2,FALSE),'Eclass OPE Rates'!$A$26:$F$33,5,FALSE),0))</f>
        <v>0</v>
      </c>
      <c r="P77" s="208">
        <f>IF($D77="",0,ROUND(P32*VLOOKUP(VLOOKUP($D77,'R&amp;R Generic Detailed Budget'!$AK$7:$AL$15,2,FALSE),'Eclass OPE Rates'!$A$26:$F$33,6,FALSE),0))</f>
        <v>0</v>
      </c>
      <c r="Q77" s="186">
        <f t="shared" si="23"/>
        <v>0</v>
      </c>
      <c r="S77" s="294"/>
      <c r="T77" s="293"/>
      <c r="U77" s="293"/>
      <c r="V77" s="293"/>
      <c r="W77" s="293"/>
      <c r="X77" s="293"/>
    </row>
    <row r="78" spans="1:25" x14ac:dyDescent="0.2">
      <c r="A78" s="169"/>
      <c r="B78" s="206" t="str">
        <f t="shared" si="24"/>
        <v/>
      </c>
      <c r="C78" s="343" t="str">
        <f t="shared" si="24"/>
        <v xml:space="preserve"> </v>
      </c>
      <c r="D78" s="307" t="str">
        <f>IF(D33="","",D33)</f>
        <v/>
      </c>
      <c r="E78" s="182"/>
      <c r="F78" s="182"/>
      <c r="G78" s="182"/>
      <c r="H78" s="182"/>
      <c r="I78" s="182"/>
      <c r="K78" s="292" t="str">
        <f>IF(B78="","",VLOOKUP(VLOOKUP(D78,$AK$7:$AL$15,2,FALSE),'Eclass OPE Rates'!$A$26:$F$33,2,FALSE))</f>
        <v/>
      </c>
      <c r="L78" s="208">
        <f>IF($D78="",0,ROUND(L33*VLOOKUP(VLOOKUP($D78,'R&amp;R Generic Detailed Budget'!$AK$7:$AL$15,2,FALSE),'Eclass OPE Rates'!$A$26:$F$33,2,FALSE),0))</f>
        <v>0</v>
      </c>
      <c r="M78" s="208">
        <f>IF($D78="",0,ROUND(M33*VLOOKUP(VLOOKUP($D78,'R&amp;R Generic Detailed Budget'!$AK$7:$AL$15,2,FALSE),'Eclass OPE Rates'!$A$26:$F$33,3,FALSE),0))</f>
        <v>0</v>
      </c>
      <c r="N78" s="208">
        <f>IF($D78="",0,ROUND(N33*VLOOKUP(VLOOKUP($D78,'R&amp;R Generic Detailed Budget'!$AK$7:$AL$15,2,FALSE),'Eclass OPE Rates'!$A$26:$F$33,4,FALSE),0))</f>
        <v>0</v>
      </c>
      <c r="O78" s="208">
        <f>IF($D78="",0,ROUND(O33*VLOOKUP(VLOOKUP($D78,'R&amp;R Generic Detailed Budget'!$AK$7:$AL$15,2,FALSE),'Eclass OPE Rates'!$A$26:$F$33,5,FALSE),0))</f>
        <v>0</v>
      </c>
      <c r="P78" s="208">
        <f>IF($D78="",0,ROUND(P33*VLOOKUP(VLOOKUP($D78,'R&amp;R Generic Detailed Budget'!$AK$7:$AL$15,2,FALSE),'Eclass OPE Rates'!$A$26:$F$33,6,FALSE),0))</f>
        <v>0</v>
      </c>
      <c r="Q78" s="186">
        <f t="shared" si="23"/>
        <v>0</v>
      </c>
      <c r="S78" s="294"/>
      <c r="T78" s="15"/>
      <c r="U78" s="15"/>
      <c r="V78" s="15"/>
      <c r="W78" s="15"/>
      <c r="X78" s="15"/>
    </row>
    <row r="79" spans="1:25" x14ac:dyDescent="0.2">
      <c r="A79" s="169"/>
      <c r="B79" s="206" t="str">
        <f t="shared" si="24"/>
        <v/>
      </c>
      <c r="C79" s="343" t="str">
        <f t="shared" si="24"/>
        <v xml:space="preserve"> </v>
      </c>
      <c r="D79" s="307" t="str">
        <f>IF(D34="","",D34)</f>
        <v/>
      </c>
      <c r="E79" s="182"/>
      <c r="F79" s="182"/>
      <c r="G79" s="182"/>
      <c r="H79" s="182"/>
      <c r="I79" s="182"/>
      <c r="K79" s="292" t="str">
        <f>IF(B79="","",VLOOKUP(VLOOKUP(D79,$AK$7:$AL$15,2,FALSE),'Eclass OPE Rates'!$A$26:$F$33,2,FALSE))</f>
        <v/>
      </c>
      <c r="L79" s="208">
        <f>IF($D79="",0,ROUND(L34*VLOOKUP(VLOOKUP($D79,'R&amp;R Generic Detailed Budget'!$AK$7:$AL$15,2,FALSE),'Eclass OPE Rates'!$A$26:$F$33,2,FALSE),0))</f>
        <v>0</v>
      </c>
      <c r="M79" s="208">
        <f>IF($D79="",0,ROUND(M34*VLOOKUP(VLOOKUP($D79,'R&amp;R Generic Detailed Budget'!$AK$7:$AL$15,2,FALSE),'Eclass OPE Rates'!$A$26:$F$33,3,FALSE),0))</f>
        <v>0</v>
      </c>
      <c r="N79" s="208">
        <f>IF($D79="",0,ROUND(N34*VLOOKUP(VLOOKUP($D79,'R&amp;R Generic Detailed Budget'!$AK$7:$AL$15,2,FALSE),'Eclass OPE Rates'!$A$26:$F$33,4,FALSE),0))</f>
        <v>0</v>
      </c>
      <c r="O79" s="208">
        <f>IF($D79="",0,ROUND(O34*VLOOKUP(VLOOKUP($D79,'R&amp;R Generic Detailed Budget'!$AK$7:$AL$15,2,FALSE),'Eclass OPE Rates'!$A$26:$F$33,5,FALSE),0))</f>
        <v>0</v>
      </c>
      <c r="P79" s="208">
        <f>IF($D79="",0,ROUND(P34*VLOOKUP(VLOOKUP($D79,'R&amp;R Generic Detailed Budget'!$AK$7:$AL$15,2,FALSE),'Eclass OPE Rates'!$A$26:$F$33,6,FALSE),0))</f>
        <v>0</v>
      </c>
      <c r="Q79" s="186">
        <f t="shared" si="23"/>
        <v>0</v>
      </c>
      <c r="S79" s="295"/>
      <c r="T79" s="21"/>
      <c r="U79" s="21"/>
      <c r="V79" s="21"/>
      <c r="W79" s="21"/>
      <c r="X79" s="21"/>
    </row>
    <row r="80" spans="1:25" x14ac:dyDescent="0.2">
      <c r="A80" s="169"/>
      <c r="B80" s="206" t="str">
        <f t="shared" si="24"/>
        <v/>
      </c>
      <c r="C80" s="343" t="str">
        <f t="shared" si="24"/>
        <v xml:space="preserve"> </v>
      </c>
      <c r="D80" s="307" t="str">
        <f>IF(D35="","",D35)</f>
        <v/>
      </c>
      <c r="E80" s="182"/>
      <c r="F80" s="182"/>
      <c r="G80" s="182"/>
      <c r="H80" s="182"/>
      <c r="I80" s="182"/>
      <c r="K80" s="292" t="str">
        <f>IF(B80="","",VLOOKUP(VLOOKUP(D80,$AK$7:$AL$15,2,FALSE),'Eclass OPE Rates'!$A$26:$F$33,2,FALSE))</f>
        <v/>
      </c>
      <c r="L80" s="208">
        <f>IF($D80="",0,ROUND(L35*VLOOKUP(VLOOKUP($D80,'R&amp;R Generic Detailed Budget'!$AK$7:$AL$15,2,FALSE),'Eclass OPE Rates'!$A$26:$F$33,2,FALSE),0))</f>
        <v>0</v>
      </c>
      <c r="M80" s="208">
        <f>IF($D80="",0,ROUND(M35*VLOOKUP(VLOOKUP($D80,'R&amp;R Generic Detailed Budget'!$AK$7:$AL$15,2,FALSE),'Eclass OPE Rates'!$A$26:$F$33,3,FALSE),0))</f>
        <v>0</v>
      </c>
      <c r="N80" s="208">
        <f>IF($D80="",0,ROUND(N35*VLOOKUP(VLOOKUP($D80,'R&amp;R Generic Detailed Budget'!$AK$7:$AL$15,2,FALSE),'Eclass OPE Rates'!$A$26:$F$33,4,FALSE),0))</f>
        <v>0</v>
      </c>
      <c r="O80" s="208">
        <f>IF($D80="",0,ROUND(O35*VLOOKUP(VLOOKUP($D80,'R&amp;R Generic Detailed Budget'!$AK$7:$AL$15,2,FALSE),'Eclass OPE Rates'!$A$26:$F$33,5,FALSE),0))</f>
        <v>0</v>
      </c>
      <c r="P80" s="208">
        <f>IF($D80="",0,ROUND(P35*VLOOKUP(VLOOKUP($D80,'R&amp;R Generic Detailed Budget'!$AK$7:$AL$15,2,FALSE),'Eclass OPE Rates'!$A$26:$F$33,6,FALSE),0))</f>
        <v>0</v>
      </c>
      <c r="Q80" s="186">
        <f t="shared" si="23"/>
        <v>0</v>
      </c>
      <c r="S80" s="295"/>
      <c r="T80" s="21"/>
      <c r="U80" s="21"/>
      <c r="V80" s="21"/>
      <c r="W80" s="21"/>
      <c r="X80" s="21"/>
    </row>
    <row r="81" spans="1:24" x14ac:dyDescent="0.2">
      <c r="A81" s="169"/>
      <c r="B81" s="168"/>
      <c r="C81" s="168"/>
      <c r="D81" s="283"/>
      <c r="E81" s="209"/>
      <c r="F81" s="209"/>
      <c r="G81" s="209"/>
      <c r="H81" s="209"/>
      <c r="I81" s="209"/>
      <c r="J81" s="209"/>
      <c r="K81" s="209"/>
      <c r="L81" s="209"/>
      <c r="M81" s="209"/>
      <c r="N81" s="209"/>
      <c r="O81" s="209"/>
      <c r="P81" s="209"/>
      <c r="Q81" s="192"/>
      <c r="S81" s="21"/>
      <c r="T81" s="21"/>
      <c r="U81" s="21"/>
      <c r="V81" s="21"/>
      <c r="W81" s="21"/>
      <c r="X81" s="21"/>
    </row>
    <row r="82" spans="1:24" x14ac:dyDescent="0.2">
      <c r="A82" s="169"/>
      <c r="B82" s="180" t="s">
        <v>42</v>
      </c>
      <c r="C82" s="206" t="s">
        <v>234</v>
      </c>
      <c r="D82" s="307" t="s">
        <v>192</v>
      </c>
      <c r="E82" s="211"/>
      <c r="F82" s="211"/>
      <c r="G82" s="211"/>
      <c r="H82" s="211"/>
      <c r="I82" s="211"/>
      <c r="K82" s="292">
        <f>IF(B82="","",VLOOKUP(VLOOKUP(D82,$AK$7:$AL$14,2,FALSE),'Eclass OPE Rates'!$A$26:$F$33,2,FALSE))</f>
        <v>3.3000000000000002E-2</v>
      </c>
      <c r="L82" s="208">
        <f>IF($D82="",0,ROUND(L37*VLOOKUP(VLOOKUP($D82,'R&amp;R Generic Detailed Budget'!$AK$7:$AL$14,2,FALSE),'Eclass OPE Rates'!$A$26:$F$33,2,FALSE),0))</f>
        <v>0</v>
      </c>
      <c r="M82" s="208">
        <f>IF($D82="",0,ROUND(M37*VLOOKUP(VLOOKUP($D82,'R&amp;R Generic Detailed Budget'!$AK$7:$AL$14,2,FALSE),'Eclass OPE Rates'!$A$26:$F$33,3,FALSE),0))</f>
        <v>0</v>
      </c>
      <c r="N82" s="208">
        <f>IF($D82="",0,ROUND(N37*VLOOKUP(VLOOKUP($D82,'R&amp;R Generic Detailed Budget'!$AK$7:$AL$14,2,FALSE),'Eclass OPE Rates'!$A$26:$F$33,4,FALSE),0))</f>
        <v>0</v>
      </c>
      <c r="O82" s="208">
        <f>IF($D82="",0,ROUND(O37*VLOOKUP(VLOOKUP($D82,'R&amp;R Generic Detailed Budget'!$AK$7:$AL$14,2,FALSE),'Eclass OPE Rates'!$A$26:$F$33,5,FALSE),0))</f>
        <v>0</v>
      </c>
      <c r="P82" s="208">
        <f>IF($D82="",0,ROUND(P37*VLOOKUP(VLOOKUP($D82,'R&amp;R Generic Detailed Budget'!$AK$7:$AL$14,2,FALSE),'Eclass OPE Rates'!$A$26:$F$33,6,FALSE),0))</f>
        <v>0</v>
      </c>
      <c r="Q82" s="186">
        <f>SUM(L82:P82)</f>
        <v>0</v>
      </c>
      <c r="S82" s="21"/>
      <c r="T82" s="21"/>
      <c r="U82" s="21"/>
      <c r="V82" s="21"/>
      <c r="W82" s="21"/>
      <c r="X82" s="21"/>
    </row>
    <row r="83" spans="1:24" x14ac:dyDescent="0.2">
      <c r="A83" s="169"/>
      <c r="B83" s="180" t="s">
        <v>127</v>
      </c>
      <c r="C83" s="206" t="s">
        <v>234</v>
      </c>
      <c r="D83" s="307" t="s">
        <v>192</v>
      </c>
      <c r="E83" s="211"/>
      <c r="F83" s="211"/>
      <c r="G83" s="211"/>
      <c r="H83" s="211"/>
      <c r="I83" s="211"/>
      <c r="K83" s="292">
        <f>IF(B83="","",VLOOKUP(VLOOKUP(D83,$AK$7:$AL$14,2,FALSE),'Eclass OPE Rates'!$A$26:$F$33,2,FALSE))</f>
        <v>3.3000000000000002E-2</v>
      </c>
      <c r="L83" s="208">
        <f>IF($D83="",0,ROUND(L38*VLOOKUP(VLOOKUP($D83,'R&amp;R Generic Detailed Budget'!$AK$7:$AL$14,2,FALSE),'Eclass OPE Rates'!$A$26:$F$33,2,FALSE),0))</f>
        <v>0</v>
      </c>
      <c r="M83" s="208">
        <f>IF($D83="",0,ROUND(M38*VLOOKUP(VLOOKUP($D83,'R&amp;R Generic Detailed Budget'!$AK$7:$AL$14,2,FALSE),'Eclass OPE Rates'!$A$26:$F$33,3,FALSE),0))</f>
        <v>0</v>
      </c>
      <c r="N83" s="208">
        <f>IF($D83="",0,ROUND(N38*VLOOKUP(VLOOKUP($D83,'R&amp;R Generic Detailed Budget'!$AK$7:$AL$14,2,FALSE),'Eclass OPE Rates'!$A$26:$F$33,4,FALSE),0))</f>
        <v>0</v>
      </c>
      <c r="O83" s="208">
        <f>IF($D83="",0,ROUND(O38*VLOOKUP(VLOOKUP($D83,'R&amp;R Generic Detailed Budget'!$AK$7:$AL$14,2,FALSE),'Eclass OPE Rates'!$A$26:$F$33,5,FALSE),0))</f>
        <v>0</v>
      </c>
      <c r="P83" s="208">
        <f>IF($D83="",0,ROUND(P38*VLOOKUP(VLOOKUP($D83,'R&amp;R Generic Detailed Budget'!$AK$7:$AL$14,2,FALSE),'Eclass OPE Rates'!$A$26:$F$33,6,FALSE),0))</f>
        <v>0</v>
      </c>
      <c r="Q83" s="186">
        <f>SUM(L83:P83)</f>
        <v>0</v>
      </c>
    </row>
    <row r="84" spans="1:24" x14ac:dyDescent="0.2">
      <c r="A84" s="169"/>
      <c r="B84" s="168"/>
      <c r="C84" s="168"/>
      <c r="D84" s="283"/>
      <c r="E84" s="209"/>
      <c r="F84" s="209"/>
      <c r="G84" s="209"/>
      <c r="H84" s="209"/>
      <c r="I84" s="209"/>
      <c r="J84" s="209"/>
      <c r="K84" s="209"/>
      <c r="L84" s="209"/>
      <c r="M84" s="209"/>
      <c r="N84" s="209"/>
      <c r="O84" s="209"/>
      <c r="P84" s="209"/>
      <c r="Q84" s="192"/>
    </row>
    <row r="85" spans="1:24" x14ac:dyDescent="0.2">
      <c r="A85" s="169"/>
      <c r="B85" s="303" t="s">
        <v>180</v>
      </c>
      <c r="C85" s="206" t="s">
        <v>234</v>
      </c>
      <c r="D85" s="307" t="s">
        <v>192</v>
      </c>
      <c r="E85" s="304"/>
      <c r="F85" s="304"/>
      <c r="G85" s="304"/>
      <c r="H85" s="304"/>
      <c r="I85" s="304"/>
      <c r="K85" s="305">
        <f>IF(B85="","",VLOOKUP(VLOOKUP(D85,$AK$7:$AL$14,2,FALSE),'Eclass OPE Rates'!$A$26:$F$33,2,FALSE))</f>
        <v>3.3000000000000002E-2</v>
      </c>
      <c r="L85" s="208">
        <f>ROUND(VLOOKUP(VLOOKUP($D85,$AK$7:$AL$14,2,FALSE),'Eclass OPE Rates'!$A$26:$F$33,2,FALSE)*SUM(L42:L50),0)+SUMIF($E$44:$E$52,"Total Academic Terms",F44:F52)*(V7+V9)+SUMIF($E$44:$E$52,"Total Summer Terms",F44:F52)*(V8+V10)</f>
        <v>0</v>
      </c>
      <c r="M85" s="208">
        <f>IF($A$1&gt;1,ROUND(VLOOKUP(VLOOKUP($D85,$AK$7:$AL$14,2,FALSE),'Eclass OPE Rates'!$A$26:$F$33,3,FALSE)*SUM(M42:M50),0)+SUMIF($E$44:$E$52,"Total Academic Terms",G44:G52)*(W7+W9)+SUMIF($E$44:$E$52,"Total Summer Terms",G44:G52)*(W8+W10),0)</f>
        <v>0</v>
      </c>
      <c r="N85" s="208">
        <f>IF($A$1&gt;2,ROUND(VLOOKUP(VLOOKUP($D85,$AK$7:$AL$14,2,FALSE),'Eclass OPE Rates'!$A$26:$F$33,4,FALSE)*SUM(N42:N50),0)+SUMIF($E$44:$E$52,"Total Academic Terms",H44:H52)*(X7+X9)+SUMIF($E$44:$E$52,"Total Summer Terms",H44:H52)*(X8+X10),0)</f>
        <v>0</v>
      </c>
      <c r="O85" s="208">
        <f>IF($A$1&gt;3,ROUND(VLOOKUP(VLOOKUP($D85,$AK$7:$AL$14,2,FALSE),'Eclass OPE Rates'!$A$26:$F$33,5,FALSE)*SUM(O42:O50),0)+SUMIF($E$44:$E$52,"Total Academic Terms",I44:I52)*(Y7+Y9)+SUMIF($E$44:$E$52,"Total Summer Terms",I44:I52)*(Y8+Y10),0)</f>
        <v>0</v>
      </c>
      <c r="P85" s="208">
        <f>IF($A$1&gt;4,ROUND(VLOOKUP(VLOOKUP($D85,$AK$7:$AL$14,2,FALSE),'Eclass OPE Rates'!$A$26:$F$33,6,FALSE)*SUM(P42:P50),0)+SUMIF($E$44:$E$52,"Total Academic Terms",J44:J52)*(Z7+Z9)+SUMIF($E$44:$E$52,"Total Summer Terms",J44:J52)*(Z8+Z10),0)</f>
        <v>0</v>
      </c>
      <c r="Q85" s="306">
        <f>SUM(L85:P85)</f>
        <v>0</v>
      </c>
    </row>
    <row r="86" spans="1:24" ht="13.5" x14ac:dyDescent="0.25">
      <c r="A86" s="214"/>
      <c r="B86" s="202"/>
      <c r="C86" s="202"/>
      <c r="D86" s="202"/>
      <c r="E86" s="215"/>
      <c r="F86" s="215"/>
      <c r="G86" s="215"/>
      <c r="H86" s="215"/>
      <c r="I86" s="215"/>
      <c r="J86" s="202"/>
      <c r="K86" s="202" t="s">
        <v>5</v>
      </c>
      <c r="L86" s="203">
        <f>SUM(L57:L85)</f>
        <v>0</v>
      </c>
      <c r="M86" s="203">
        <f>IF($A$1&gt;1,SUM(M57:M85),0)</f>
        <v>0</v>
      </c>
      <c r="N86" s="203">
        <f>IF($A$1&gt;2,SUM(N57:N85),0)</f>
        <v>0</v>
      </c>
      <c r="O86" s="203">
        <f>IF($A$1&gt;3,SUM(O57:O85),0)</f>
        <v>0</v>
      </c>
      <c r="P86" s="203">
        <f>IF($A$1&gt;4,SUM(P57:P85),0)</f>
        <v>0</v>
      </c>
      <c r="Q86" s="204">
        <f>SUM(L86:P86)</f>
        <v>0</v>
      </c>
    </row>
    <row r="87" spans="1:24" x14ac:dyDescent="0.2">
      <c r="A87" s="169"/>
      <c r="B87" s="216"/>
      <c r="C87" s="216"/>
      <c r="D87" s="216"/>
      <c r="E87" s="216"/>
      <c r="F87" s="216"/>
      <c r="G87" s="216"/>
      <c r="H87" s="216"/>
      <c r="I87" s="216"/>
      <c r="J87" s="217"/>
      <c r="K87" s="217"/>
      <c r="L87" s="218"/>
      <c r="M87" s="218"/>
      <c r="N87" s="218"/>
      <c r="O87" s="218"/>
      <c r="P87" s="218"/>
      <c r="Q87" s="186"/>
    </row>
    <row r="88" spans="1:24" collapsed="1" x14ac:dyDescent="0.2">
      <c r="A88" s="375" t="s">
        <v>246</v>
      </c>
      <c r="B88" s="381" t="s">
        <v>301</v>
      </c>
      <c r="C88" s="219"/>
      <c r="D88" s="219"/>
      <c r="E88" s="219"/>
      <c r="F88" s="219"/>
      <c r="G88" s="219"/>
      <c r="H88" s="219"/>
      <c r="I88" s="219"/>
      <c r="J88" s="220"/>
      <c r="K88" s="219" t="s">
        <v>301</v>
      </c>
      <c r="L88" s="221">
        <f t="shared" ref="L88:Q88" si="25">SUMIF($C:$C,"Senior/Key Personnel",L:L)</f>
        <v>0</v>
      </c>
      <c r="M88" s="221">
        <f t="shared" si="25"/>
        <v>0</v>
      </c>
      <c r="N88" s="221">
        <f t="shared" si="25"/>
        <v>0</v>
      </c>
      <c r="O88" s="221">
        <f t="shared" si="25"/>
        <v>0</v>
      </c>
      <c r="P88" s="221">
        <f t="shared" si="25"/>
        <v>0</v>
      </c>
      <c r="Q88" s="221">
        <f t="shared" si="25"/>
        <v>0</v>
      </c>
    </row>
    <row r="89" spans="1:24" x14ac:dyDescent="0.2">
      <c r="A89" s="375" t="s">
        <v>247</v>
      </c>
      <c r="B89" s="381" t="s">
        <v>234</v>
      </c>
      <c r="C89" s="219"/>
      <c r="D89" s="219"/>
      <c r="E89" s="219"/>
      <c r="F89" s="219"/>
      <c r="G89" s="219"/>
      <c r="H89" s="219"/>
      <c r="I89" s="219"/>
      <c r="J89" s="220"/>
      <c r="K89" s="219" t="s">
        <v>234</v>
      </c>
      <c r="L89" s="221">
        <f t="shared" ref="L89:Q89" si="26">SUMIF($C:$C,"Other Personnel",L:L)</f>
        <v>0</v>
      </c>
      <c r="M89" s="221">
        <f t="shared" si="26"/>
        <v>0</v>
      </c>
      <c r="N89" s="221">
        <f t="shared" si="26"/>
        <v>0</v>
      </c>
      <c r="O89" s="221">
        <f t="shared" si="26"/>
        <v>0</v>
      </c>
      <c r="P89" s="221">
        <f t="shared" si="26"/>
        <v>0</v>
      </c>
      <c r="Q89" s="221">
        <f t="shared" si="26"/>
        <v>0</v>
      </c>
    </row>
    <row r="90" spans="1:24" x14ac:dyDescent="0.2">
      <c r="A90" s="169"/>
      <c r="B90" s="381" t="s">
        <v>13</v>
      </c>
      <c r="C90" s="219"/>
      <c r="D90" s="219"/>
      <c r="E90" s="219"/>
      <c r="F90" s="219"/>
      <c r="G90" s="219"/>
      <c r="H90" s="219"/>
      <c r="I90" s="219"/>
      <c r="J90" s="220"/>
      <c r="K90" s="219" t="s">
        <v>13</v>
      </c>
      <c r="L90" s="221">
        <f>SUM(L53,L86)</f>
        <v>0</v>
      </c>
      <c r="M90" s="221">
        <f>IF($A$1&gt;1,SUM(M53,M86),0)</f>
        <v>0</v>
      </c>
      <c r="N90" s="221">
        <f>IF($A$1&gt;2,SUM(N53,N86),0)</f>
        <v>0</v>
      </c>
      <c r="O90" s="221">
        <f>IF($A$1&gt;3,SUM(O53,O86),0)</f>
        <v>0</v>
      </c>
      <c r="P90" s="221">
        <f>IF($A$1&gt;4,SUM(P53,P86),0)</f>
        <v>0</v>
      </c>
      <c r="Q90" s="222">
        <f>SUM(L90:P90)</f>
        <v>0</v>
      </c>
    </row>
    <row r="91" spans="1:24" x14ac:dyDescent="0.2">
      <c r="A91" s="169"/>
      <c r="B91" s="216"/>
      <c r="C91" s="216"/>
      <c r="D91" s="216"/>
      <c r="E91" s="216"/>
      <c r="F91" s="216"/>
      <c r="G91" s="216"/>
      <c r="H91" s="216"/>
      <c r="I91" s="216"/>
      <c r="J91" s="188"/>
      <c r="K91" s="188"/>
      <c r="L91" s="223"/>
      <c r="M91" s="223"/>
      <c r="N91" s="223"/>
      <c r="O91" s="223"/>
      <c r="P91" s="223"/>
      <c r="Q91" s="224"/>
      <c r="T91" s="86"/>
    </row>
    <row r="92" spans="1:24" x14ac:dyDescent="0.2">
      <c r="A92" s="169"/>
      <c r="B92" s="169"/>
      <c r="C92" s="169"/>
      <c r="D92" s="169"/>
      <c r="E92" s="169"/>
      <c r="F92" s="169"/>
      <c r="G92" s="169"/>
      <c r="H92" s="169"/>
      <c r="I92" s="169"/>
      <c r="J92" s="180"/>
      <c r="K92" s="180"/>
      <c r="L92" s="187"/>
      <c r="M92" s="187"/>
      <c r="N92" s="187"/>
      <c r="O92" s="187"/>
      <c r="P92" s="187"/>
      <c r="Q92" s="186"/>
    </row>
    <row r="93" spans="1:24" x14ac:dyDescent="0.2">
      <c r="A93" s="375" t="s">
        <v>248</v>
      </c>
      <c r="B93" s="225" t="s">
        <v>403</v>
      </c>
      <c r="C93" s="225"/>
      <c r="D93" s="225"/>
      <c r="E93" s="206"/>
      <c r="F93" s="206"/>
      <c r="G93" s="206"/>
      <c r="H93" s="206"/>
      <c r="I93" s="206"/>
      <c r="J93" s="188"/>
      <c r="K93" s="188"/>
      <c r="L93" s="187"/>
      <c r="M93" s="187"/>
      <c r="N93" s="187"/>
      <c r="O93" s="187"/>
      <c r="P93" s="187"/>
      <c r="Q93" s="229"/>
    </row>
    <row r="94" spans="1:24" x14ac:dyDescent="0.2">
      <c r="A94" s="169"/>
      <c r="B94" s="206"/>
      <c r="C94" s="206"/>
      <c r="D94" s="206"/>
      <c r="E94" s="216"/>
      <c r="F94" s="216"/>
      <c r="G94" s="216"/>
      <c r="H94" s="216"/>
      <c r="I94" s="216"/>
      <c r="J94" s="188"/>
      <c r="K94" s="188"/>
      <c r="L94" s="187"/>
      <c r="M94" s="187"/>
      <c r="N94" s="187"/>
      <c r="O94" s="187"/>
      <c r="P94" s="187"/>
      <c r="Q94" s="186">
        <f>SUM(L94:P94)</f>
        <v>0</v>
      </c>
    </row>
    <row r="95" spans="1:24" x14ac:dyDescent="0.2">
      <c r="A95" s="169"/>
      <c r="B95" s="206"/>
      <c r="C95" s="206"/>
      <c r="D95" s="206"/>
      <c r="E95" s="216"/>
      <c r="F95" s="216"/>
      <c r="G95" s="216"/>
      <c r="H95" s="216"/>
      <c r="I95" s="216"/>
      <c r="J95" s="188"/>
      <c r="K95" s="188"/>
      <c r="L95" s="187"/>
      <c r="M95" s="187"/>
      <c r="N95" s="187"/>
      <c r="O95" s="187"/>
      <c r="P95" s="187"/>
      <c r="Q95" s="213">
        <f>SUM(L95:P95)</f>
        <v>0</v>
      </c>
    </row>
    <row r="96" spans="1:24" ht="13.5" collapsed="1" x14ac:dyDescent="0.25">
      <c r="A96" s="169"/>
      <c r="B96" s="216"/>
      <c r="C96" s="216"/>
      <c r="D96" s="216"/>
      <c r="E96" s="216"/>
      <c r="F96" s="216"/>
      <c r="G96" s="216"/>
      <c r="H96" s="216"/>
      <c r="I96" s="216"/>
      <c r="J96" s="226"/>
      <c r="K96" s="226" t="s">
        <v>15</v>
      </c>
      <c r="L96" s="227">
        <f>SUM(L94:L95)</f>
        <v>0</v>
      </c>
      <c r="M96" s="227">
        <f>IF($A$1&gt;1,SUM(M94:M95),0)</f>
        <v>0</v>
      </c>
      <c r="N96" s="227">
        <f>IF($A$1&gt;2,SUM(N94:N95),0)</f>
        <v>0</v>
      </c>
      <c r="O96" s="227">
        <f>IF($A$1&gt;3,SUM(O94:O95),0)</f>
        <v>0</v>
      </c>
      <c r="P96" s="227">
        <f>IF($A$1&gt;4,SUM(P94:P95),0)</f>
        <v>0</v>
      </c>
      <c r="Q96" s="228">
        <f>SUM(L96:P96)</f>
        <v>0</v>
      </c>
      <c r="R96" s="1" t="s">
        <v>25</v>
      </c>
    </row>
    <row r="97" spans="1:19" x14ac:dyDescent="0.2">
      <c r="A97" s="375" t="s">
        <v>250</v>
      </c>
      <c r="B97" s="188" t="s">
        <v>6</v>
      </c>
      <c r="C97" s="188"/>
      <c r="D97" s="188"/>
      <c r="E97" s="180"/>
      <c r="F97" s="180"/>
      <c r="G97" s="180"/>
      <c r="H97" s="180"/>
      <c r="I97" s="180"/>
      <c r="J97" s="180"/>
      <c r="K97" s="180"/>
      <c r="L97" s="187"/>
      <c r="M97" s="187"/>
      <c r="N97" s="187"/>
      <c r="O97" s="187"/>
      <c r="P97" s="187"/>
      <c r="Q97" s="229"/>
    </row>
    <row r="98" spans="1:19" x14ac:dyDescent="0.2">
      <c r="A98" s="169"/>
      <c r="B98" s="230" t="s">
        <v>382</v>
      </c>
      <c r="C98" s="230"/>
      <c r="D98" s="230"/>
      <c r="E98" s="180"/>
      <c r="F98" s="180"/>
      <c r="G98" s="180"/>
      <c r="H98" s="180"/>
      <c r="I98" s="180"/>
      <c r="J98" s="180"/>
      <c r="K98" s="180"/>
      <c r="L98" s="187"/>
      <c r="M98" s="187">
        <f>IF($A$1&gt;1,ROUND($L98*$V$16,0),0)</f>
        <v>0</v>
      </c>
      <c r="N98" s="187">
        <f>IF($A$1&gt;2,ROUND($L98*$V$16^2,0),0)</f>
        <v>0</v>
      </c>
      <c r="O98" s="187">
        <f>IF($A$1&gt;3,ROUND($L98*$V$16^3,0),0)</f>
        <v>0</v>
      </c>
      <c r="P98" s="187">
        <f>IF($A$1&gt;4,ROUND($L98*$V$16^4,0),0)</f>
        <v>0</v>
      </c>
      <c r="Q98" s="186">
        <f>SUM(L98:P98)</f>
        <v>0</v>
      </c>
    </row>
    <row r="99" spans="1:19" x14ac:dyDescent="0.2">
      <c r="A99" s="169"/>
      <c r="B99" s="206"/>
      <c r="C99" s="206"/>
      <c r="D99" s="206"/>
      <c r="E99" s="180"/>
      <c r="F99" s="180"/>
      <c r="G99" s="180"/>
      <c r="H99" s="180"/>
      <c r="I99" s="180"/>
      <c r="J99" s="180"/>
      <c r="K99" s="180"/>
      <c r="L99" s="187"/>
      <c r="M99" s="187">
        <f>IF($A$1&gt;1,ROUND($L99*$V$16,0),0)</f>
        <v>0</v>
      </c>
      <c r="N99" s="187">
        <f>IF($A$1&gt;2,ROUND($L99*$V$16^2,0),0)</f>
        <v>0</v>
      </c>
      <c r="O99" s="187">
        <f>IF($A$1&gt;3,ROUND($L99*$V$16^3,0),0)</f>
        <v>0</v>
      </c>
      <c r="P99" s="187">
        <f>IF($A$1&gt;4,ROUND($L99*$V$16^4,0),0)</f>
        <v>0</v>
      </c>
      <c r="Q99" s="186">
        <f>SUM(L99:P99)</f>
        <v>0</v>
      </c>
    </row>
    <row r="100" spans="1:19" x14ac:dyDescent="0.2">
      <c r="A100" s="169"/>
      <c r="B100" s="470" t="s">
        <v>383</v>
      </c>
      <c r="C100" s="230"/>
      <c r="D100" s="230"/>
      <c r="E100" s="216"/>
      <c r="F100" s="216"/>
      <c r="G100" s="216"/>
      <c r="H100" s="216"/>
      <c r="I100" s="216"/>
      <c r="J100" s="180"/>
      <c r="K100" s="180"/>
      <c r="L100" s="187"/>
      <c r="M100" s="187">
        <f>IF($A$1&gt;1,ROUND($L100*$V$16,0),0)</f>
        <v>0</v>
      </c>
      <c r="N100" s="187">
        <f>IF($A$1&gt;2,ROUND($L100*$V$16^2,0),0)</f>
        <v>0</v>
      </c>
      <c r="O100" s="187">
        <f>IF($A$1&gt;3,ROUND($L100*$V$16^3,0),0)</f>
        <v>0</v>
      </c>
      <c r="P100" s="187">
        <f>IF($A$1&gt;4,ROUND($L100*$V$16^4,0),0)</f>
        <v>0</v>
      </c>
      <c r="Q100" s="186">
        <f>SUM(L100:P100)</f>
        <v>0</v>
      </c>
    </row>
    <row r="101" spans="1:19" x14ac:dyDescent="0.2">
      <c r="A101" s="169"/>
      <c r="B101" s="206"/>
      <c r="C101" s="206"/>
      <c r="D101" s="206"/>
      <c r="E101" s="216"/>
      <c r="F101" s="216"/>
      <c r="G101" s="216"/>
      <c r="H101" s="216"/>
      <c r="I101" s="216"/>
      <c r="J101" s="180"/>
      <c r="K101" s="180"/>
      <c r="L101" s="212"/>
      <c r="M101" s="212">
        <f>IF($A$1&gt;1,ROUND($L101*$V$16,0),0)</f>
        <v>0</v>
      </c>
      <c r="N101" s="212">
        <f>IF($A$1&gt;2,ROUND($L101*$V$16^2,0),0)</f>
        <v>0</v>
      </c>
      <c r="O101" s="212">
        <f>IF($A$1&gt;3,ROUND($L101*$V$16^3,0),0)</f>
        <v>0</v>
      </c>
      <c r="P101" s="212">
        <f>IF($A$1&gt;4,ROUND($L101*$V$16^4,0),0)</f>
        <v>0</v>
      </c>
      <c r="Q101" s="213">
        <f>SUM(L101:P101)</f>
        <v>0</v>
      </c>
    </row>
    <row r="102" spans="1:19" ht="13.5" collapsed="1" x14ac:dyDescent="0.25">
      <c r="A102" s="169"/>
      <c r="B102" s="206"/>
      <c r="C102" s="206"/>
      <c r="D102" s="206"/>
      <c r="E102" s="216"/>
      <c r="F102" s="216"/>
      <c r="G102" s="216"/>
      <c r="H102" s="216"/>
      <c r="I102" s="216"/>
      <c r="J102" s="226"/>
      <c r="K102" s="226" t="s">
        <v>16</v>
      </c>
      <c r="L102" s="227">
        <f>SUM(L98:L101)</f>
        <v>0</v>
      </c>
      <c r="M102" s="227">
        <f>IF($A$1&gt;1,SUM(M98:M101),0)</f>
        <v>0</v>
      </c>
      <c r="N102" s="227">
        <f>IF($A$1&gt;2,SUM(N98:N101),0)</f>
        <v>0</v>
      </c>
      <c r="O102" s="227">
        <f>IF($A$1&gt;3,SUM(O98:O101),0)</f>
        <v>0</v>
      </c>
      <c r="P102" s="227">
        <f>IF($A$1&gt;4,SUM(P98:P101),0)</f>
        <v>0</v>
      </c>
      <c r="Q102" s="228">
        <f>SUM(L102:P102)</f>
        <v>0</v>
      </c>
    </row>
    <row r="103" spans="1:19" x14ac:dyDescent="0.2">
      <c r="A103" s="169"/>
      <c r="B103" s="216"/>
      <c r="C103" s="216"/>
      <c r="D103" s="216"/>
      <c r="E103" s="216"/>
      <c r="F103" s="216"/>
      <c r="G103" s="216"/>
      <c r="H103" s="216"/>
      <c r="I103" s="216"/>
      <c r="J103" s="180"/>
      <c r="K103" s="180"/>
      <c r="L103" s="187"/>
      <c r="M103" s="218"/>
      <c r="N103" s="218"/>
      <c r="O103" s="218"/>
      <c r="P103" s="218"/>
      <c r="Q103" s="186"/>
      <c r="S103" s="14" t="s">
        <v>135</v>
      </c>
    </row>
    <row r="104" spans="1:19" x14ac:dyDescent="0.2">
      <c r="A104" s="375" t="s">
        <v>252</v>
      </c>
      <c r="B104" s="225" t="s">
        <v>291</v>
      </c>
      <c r="C104" s="225"/>
      <c r="D104" s="206"/>
      <c r="E104" s="206"/>
      <c r="F104" s="206"/>
      <c r="G104" s="206"/>
      <c r="H104" s="206"/>
      <c r="I104" s="206"/>
      <c r="J104" s="180"/>
      <c r="K104" s="180"/>
      <c r="L104" s="187"/>
      <c r="M104" s="218"/>
      <c r="N104" s="218"/>
      <c r="O104" s="218"/>
      <c r="P104" s="218"/>
      <c r="Q104" s="186"/>
      <c r="S104" s="1" t="s">
        <v>117</v>
      </c>
    </row>
    <row r="105" spans="1:19" x14ac:dyDescent="0.2">
      <c r="A105" s="169"/>
      <c r="B105" s="206" t="s">
        <v>8</v>
      </c>
      <c r="C105" s="206"/>
      <c r="D105" s="206"/>
      <c r="E105" s="206"/>
      <c r="F105" s="206"/>
      <c r="G105" s="206"/>
      <c r="H105" s="206"/>
      <c r="I105" s="206"/>
      <c r="J105" s="180"/>
      <c r="K105" s="180"/>
      <c r="L105" s="187"/>
      <c r="M105" s="187">
        <f>IF($A$1&gt;1,ROUND(L105*$V$16,0),0)</f>
        <v>0</v>
      </c>
      <c r="N105" s="187">
        <f>IF($A$1&gt;2,ROUND(L105*$V$16^2,0),0)</f>
        <v>0</v>
      </c>
      <c r="O105" s="187">
        <f>IF($A$1&gt;3,ROUND(L105*$V$16^3,0),0)</f>
        <v>0</v>
      </c>
      <c r="P105" s="187">
        <f>IF($A$1&gt;4,ROUND(L105*$V$16^4,0),0)</f>
        <v>0</v>
      </c>
      <c r="Q105" s="186">
        <f>SUM(L105:P105)</f>
        <v>0</v>
      </c>
      <c r="S105" s="1" t="s">
        <v>118</v>
      </c>
    </row>
    <row r="106" spans="1:19" x14ac:dyDescent="0.2">
      <c r="A106" s="169"/>
      <c r="B106" s="206" t="s">
        <v>9</v>
      </c>
      <c r="C106" s="206"/>
      <c r="D106" s="206"/>
      <c r="E106" s="206"/>
      <c r="F106" s="206"/>
      <c r="G106" s="206"/>
      <c r="H106" s="206"/>
      <c r="I106" s="206"/>
      <c r="J106" s="180"/>
      <c r="K106" s="180"/>
      <c r="L106" s="187">
        <v>0</v>
      </c>
      <c r="M106" s="187">
        <f>IF($A$1&gt;1,ROUND(L106*$V$16,0),0)</f>
        <v>0</v>
      </c>
      <c r="N106" s="187">
        <f>IF($A$1&gt;2,ROUND(L106*$V$16^2,0),0)</f>
        <v>0</v>
      </c>
      <c r="O106" s="187">
        <f>IF($A$1&gt;3,ROUND(L106*$V$16^3,0),0)</f>
        <v>0</v>
      </c>
      <c r="P106" s="187">
        <f>IF($A$1&gt;4,ROUND(L106*$V$16^4,0),0)</f>
        <v>0</v>
      </c>
      <c r="Q106" s="186">
        <f>SUM(L106:P106)</f>
        <v>0</v>
      </c>
      <c r="S106" s="1" t="s">
        <v>119</v>
      </c>
    </row>
    <row r="107" spans="1:19" x14ac:dyDescent="0.2">
      <c r="A107" s="169"/>
      <c r="B107" s="206" t="s">
        <v>10</v>
      </c>
      <c r="C107" s="206"/>
      <c r="D107" s="206"/>
      <c r="E107" s="206"/>
      <c r="F107" s="206"/>
      <c r="G107" s="206"/>
      <c r="H107" s="206"/>
      <c r="I107" s="206"/>
      <c r="J107" s="180"/>
      <c r="K107" s="180"/>
      <c r="L107" s="187">
        <v>0</v>
      </c>
      <c r="M107" s="187">
        <f>IF($A$1&gt;1,ROUND(L107*$V$16,0),0)</f>
        <v>0</v>
      </c>
      <c r="N107" s="187">
        <f>IF($A$1&gt;2,ROUND(L107*$V$16^2,0),0)</f>
        <v>0</v>
      </c>
      <c r="O107" s="187">
        <f>IF($A$1&gt;3,ROUND(L107*$V$16^3,0),0)</f>
        <v>0</v>
      </c>
      <c r="P107" s="187">
        <f>IF($A$1&gt;4,ROUND(L107*$V$16^4,0),0)</f>
        <v>0</v>
      </c>
      <c r="Q107" s="186">
        <f>SUM(L107:P107)</f>
        <v>0</v>
      </c>
      <c r="S107" s="14" t="s">
        <v>133</v>
      </c>
    </row>
    <row r="108" spans="1:19" x14ac:dyDescent="0.2">
      <c r="A108" s="169"/>
      <c r="B108" s="206" t="s">
        <v>11</v>
      </c>
      <c r="C108" s="206"/>
      <c r="D108" s="206"/>
      <c r="E108" s="206"/>
      <c r="F108" s="206"/>
      <c r="G108" s="206"/>
      <c r="H108" s="206"/>
      <c r="I108" s="206"/>
      <c r="J108" s="180"/>
      <c r="K108" s="180"/>
      <c r="L108" s="212">
        <v>0</v>
      </c>
      <c r="M108" s="187">
        <f>IF($A$1&gt;1,ROUND(L108*$V$16,0),0)</f>
        <v>0</v>
      </c>
      <c r="N108" s="187">
        <f>IF($A$1&gt;2,ROUND(L108*$V$16^2,0),0)</f>
        <v>0</v>
      </c>
      <c r="O108" s="187">
        <f>IF($A$1&gt;3,ROUND(L108*$V$16^3,0),0)</f>
        <v>0</v>
      </c>
      <c r="P108" s="187">
        <f>IF($A$1&gt;4,ROUND(L108*$V$16^4,0),0)</f>
        <v>0</v>
      </c>
      <c r="Q108" s="213">
        <f>SUM(L108:P108)</f>
        <v>0</v>
      </c>
      <c r="S108" s="1" t="s">
        <v>134</v>
      </c>
    </row>
    <row r="109" spans="1:19" ht="13.5" collapsed="1" x14ac:dyDescent="0.25">
      <c r="A109" s="169"/>
      <c r="B109" s="230"/>
      <c r="C109" s="230"/>
      <c r="D109" s="230"/>
      <c r="E109" s="230"/>
      <c r="F109" s="249"/>
      <c r="G109" s="249"/>
      <c r="H109" s="249"/>
      <c r="I109" s="249"/>
      <c r="J109" s="226"/>
      <c r="K109" s="226" t="s">
        <v>12</v>
      </c>
      <c r="L109" s="227">
        <f>SUM(L105:L108)</f>
        <v>0</v>
      </c>
      <c r="M109" s="227">
        <f>IF($A$1&gt;1,SUM(M105:M108),0)</f>
        <v>0</v>
      </c>
      <c r="N109" s="227">
        <f>IF($A$1&gt;2,SUM(N105:N108),0)</f>
        <v>0</v>
      </c>
      <c r="O109" s="227">
        <f>IF($A$1&gt;3,SUM(O105:O108),0)</f>
        <v>0</v>
      </c>
      <c r="P109" s="227">
        <f>IF($A$1&gt;4,SUM(P105:P108),0)</f>
        <v>0</v>
      </c>
      <c r="Q109" s="228">
        <f>SUM(L109:P109)</f>
        <v>0</v>
      </c>
    </row>
    <row r="110" spans="1:19" x14ac:dyDescent="0.2">
      <c r="A110" s="169"/>
      <c r="B110" s="216"/>
      <c r="C110" s="216"/>
      <c r="D110" s="216"/>
      <c r="E110" s="216"/>
      <c r="F110" s="216"/>
      <c r="G110" s="216"/>
      <c r="H110" s="216"/>
      <c r="I110" s="216"/>
      <c r="J110" s="180"/>
      <c r="K110" s="180"/>
      <c r="L110" s="187"/>
      <c r="M110" s="218"/>
      <c r="N110" s="218"/>
      <c r="O110" s="218"/>
      <c r="P110" s="218"/>
      <c r="Q110" s="186"/>
    </row>
    <row r="111" spans="1:19" ht="13.5" x14ac:dyDescent="0.25">
      <c r="A111" s="375" t="s">
        <v>242</v>
      </c>
      <c r="B111" s="377" t="s">
        <v>241</v>
      </c>
      <c r="C111" s="377"/>
      <c r="D111" s="377"/>
      <c r="E111" s="378"/>
      <c r="F111" s="378"/>
      <c r="G111" s="378"/>
      <c r="H111" s="378"/>
      <c r="I111" s="378"/>
      <c r="J111" s="378"/>
      <c r="K111" s="379" t="s">
        <v>294</v>
      </c>
      <c r="L111" s="380">
        <f t="shared" ref="L111:Q111" si="27">L118+L124+L131+L137+L154+L158+L163+L169+L176+L182</f>
        <v>0</v>
      </c>
      <c r="M111" s="380">
        <f t="shared" si="27"/>
        <v>0</v>
      </c>
      <c r="N111" s="380">
        <f t="shared" si="27"/>
        <v>0</v>
      </c>
      <c r="O111" s="380">
        <f t="shared" si="27"/>
        <v>0</v>
      </c>
      <c r="P111" s="382">
        <f t="shared" si="27"/>
        <v>0</v>
      </c>
      <c r="Q111" s="380">
        <f t="shared" si="27"/>
        <v>0</v>
      </c>
    </row>
    <row r="112" spans="1:19" ht="13.5" x14ac:dyDescent="0.25">
      <c r="A112" s="375"/>
      <c r="B112" s="225"/>
      <c r="C112" s="225"/>
      <c r="D112" s="225"/>
      <c r="E112" s="169"/>
      <c r="F112" s="169"/>
      <c r="G112" s="169"/>
      <c r="H112" s="169"/>
      <c r="I112" s="169"/>
      <c r="J112" s="169"/>
      <c r="K112" s="226"/>
      <c r="L112" s="184"/>
      <c r="M112" s="184"/>
      <c r="N112" s="184"/>
      <c r="O112" s="184"/>
      <c r="P112" s="184"/>
      <c r="Q112" s="185"/>
    </row>
    <row r="113" spans="1:18" x14ac:dyDescent="0.2">
      <c r="A113" s="172" t="s">
        <v>255</v>
      </c>
      <c r="B113" s="225" t="s">
        <v>256</v>
      </c>
      <c r="C113" s="225"/>
      <c r="D113" s="225"/>
      <c r="E113" s="169"/>
      <c r="F113" s="169"/>
      <c r="G113" s="169"/>
      <c r="H113" s="169"/>
      <c r="I113" s="169"/>
      <c r="J113" s="180"/>
      <c r="K113" s="180"/>
      <c r="L113" s="187"/>
      <c r="M113" s="187"/>
      <c r="N113" s="187"/>
      <c r="O113" s="187"/>
      <c r="P113" s="187"/>
      <c r="Q113" s="186"/>
    </row>
    <row r="114" spans="1:18" x14ac:dyDescent="0.2">
      <c r="A114" s="169"/>
      <c r="B114" s="169"/>
      <c r="C114" s="169"/>
      <c r="D114" s="169"/>
      <c r="E114" s="169"/>
      <c r="F114" s="169"/>
      <c r="G114" s="169"/>
      <c r="H114" s="169"/>
      <c r="I114" s="169"/>
      <c r="J114" s="180"/>
      <c r="K114" s="180"/>
      <c r="L114" s="187"/>
      <c r="M114" s="187">
        <f>IF($A$1&gt;1,ROUND($L114*$V$16,0),0)</f>
        <v>0</v>
      </c>
      <c r="N114" s="187">
        <f>IF($A$1&gt;2,ROUND($L114*$V$16^2,0),0)</f>
        <v>0</v>
      </c>
      <c r="O114" s="187">
        <f>IF($A$1&gt;3,ROUND($L114*$V$16^3,0),0)</f>
        <v>0</v>
      </c>
      <c r="P114" s="187">
        <f>IF($A$1&gt;4,ROUND($L114*$V$16^4,0),0)</f>
        <v>0</v>
      </c>
      <c r="Q114" s="186">
        <f>SUM(L114:P114)</f>
        <v>0</v>
      </c>
      <c r="R114" s="86"/>
    </row>
    <row r="115" spans="1:18" x14ac:dyDescent="0.2">
      <c r="A115" s="169"/>
      <c r="B115" s="169"/>
      <c r="C115" s="169"/>
      <c r="D115" s="169"/>
      <c r="E115" s="169"/>
      <c r="F115" s="169"/>
      <c r="G115" s="169"/>
      <c r="H115" s="169"/>
      <c r="I115" s="169"/>
      <c r="J115" s="180"/>
      <c r="K115" s="180"/>
      <c r="L115" s="187"/>
      <c r="M115" s="187">
        <f>IF($A$1&gt;1,ROUND($L115*$V$16,0),0)</f>
        <v>0</v>
      </c>
      <c r="N115" s="187">
        <f>IF($A$1&gt;2,ROUND($L115*$V$16^2,0),0)</f>
        <v>0</v>
      </c>
      <c r="O115" s="187">
        <f>IF($A$1&gt;3,ROUND($L115*$V$16^3,0),0)</f>
        <v>0</v>
      </c>
      <c r="P115" s="187">
        <f>IF($A$1&gt;4,ROUND($L115*$V$16^4,0),0)</f>
        <v>0</v>
      </c>
      <c r="Q115" s="186">
        <f>SUM(L115:P115)</f>
        <v>0</v>
      </c>
      <c r="R115" s="86"/>
    </row>
    <row r="116" spans="1:18" x14ac:dyDescent="0.2">
      <c r="A116" s="169"/>
      <c r="B116" s="169"/>
      <c r="C116" s="169"/>
      <c r="D116" s="180"/>
      <c r="E116" s="169"/>
      <c r="F116" s="169"/>
      <c r="G116" s="169"/>
      <c r="H116" s="169"/>
      <c r="I116" s="169"/>
      <c r="J116" s="180"/>
      <c r="K116" s="180"/>
      <c r="L116" s="187"/>
      <c r="M116" s="187">
        <f>IF($A$1&gt;1,ROUND($L116*$V$16,0),0)</f>
        <v>0</v>
      </c>
      <c r="N116" s="187">
        <f>IF($A$1&gt;2,ROUND($L116*$V$16^2,0),0)</f>
        <v>0</v>
      </c>
      <c r="O116" s="187">
        <f>IF($A$1&gt;3,ROUND($L116*$V$16^3,0),0)</f>
        <v>0</v>
      </c>
      <c r="P116" s="187">
        <f>IF($A$1&gt;4,ROUND($L116*$V$16^4,0),0)</f>
        <v>0</v>
      </c>
      <c r="Q116" s="186">
        <f>SUM(L116:P116)</f>
        <v>0</v>
      </c>
    </row>
    <row r="117" spans="1:18" x14ac:dyDescent="0.2">
      <c r="A117" s="169"/>
      <c r="B117" s="180"/>
      <c r="C117" s="180"/>
      <c r="D117" s="180"/>
      <c r="E117" s="169"/>
      <c r="F117" s="169"/>
      <c r="G117" s="169"/>
      <c r="H117" s="169"/>
      <c r="I117" s="169"/>
      <c r="J117" s="180"/>
      <c r="K117" s="180"/>
      <c r="L117" s="212"/>
      <c r="M117" s="212">
        <f>IF($A$1&gt;1,ROUND($L117*$V$16,0),0)</f>
        <v>0</v>
      </c>
      <c r="N117" s="212">
        <f>IF($A$1&gt;2,ROUND($L117*$V$16^2,0),0)</f>
        <v>0</v>
      </c>
      <c r="O117" s="212">
        <f>IF($A$1&gt;3,ROUND($L117*$V$16^3,0),0)</f>
        <v>0</v>
      </c>
      <c r="P117" s="212">
        <f>IF($A$1&gt;4,ROUND($L117*$V$16^4,0),0)</f>
        <v>0</v>
      </c>
      <c r="Q117" s="213">
        <f>SUM(L117:P117)</f>
        <v>0</v>
      </c>
    </row>
    <row r="118" spans="1:18" ht="13.5" collapsed="1" x14ac:dyDescent="0.25">
      <c r="A118" s="169"/>
      <c r="B118" s="169"/>
      <c r="C118" s="169"/>
      <c r="D118" s="169"/>
      <c r="E118" s="169"/>
      <c r="F118" s="169"/>
      <c r="G118" s="169"/>
      <c r="H118" s="171"/>
      <c r="I118" s="171"/>
      <c r="J118" s="226"/>
      <c r="K118" s="226" t="s">
        <v>17</v>
      </c>
      <c r="L118" s="227">
        <f>SUM(L114:L117)</f>
        <v>0</v>
      </c>
      <c r="M118" s="227">
        <f>SUM(M114:M117)</f>
        <v>0</v>
      </c>
      <c r="N118" s="227">
        <f>SUM(N114:N117)</f>
        <v>0</v>
      </c>
      <c r="O118" s="227">
        <f>SUM(O114:O117)</f>
        <v>0</v>
      </c>
      <c r="P118" s="227">
        <f>SUM(P114:P117)</f>
        <v>0</v>
      </c>
      <c r="Q118" s="228">
        <f>SUM(L118:P118)</f>
        <v>0</v>
      </c>
    </row>
    <row r="119" spans="1:18" x14ac:dyDescent="0.2">
      <c r="A119" s="172" t="s">
        <v>257</v>
      </c>
      <c r="B119" s="225" t="s">
        <v>258</v>
      </c>
      <c r="C119" s="225"/>
      <c r="D119" s="225"/>
      <c r="E119" s="169"/>
      <c r="F119" s="169"/>
      <c r="G119" s="169"/>
      <c r="H119" s="169"/>
      <c r="I119" s="169"/>
      <c r="J119" s="180"/>
      <c r="K119" s="180"/>
      <c r="L119" s="187"/>
      <c r="M119" s="187"/>
      <c r="N119" s="187"/>
      <c r="O119" s="187"/>
      <c r="P119" s="187"/>
      <c r="Q119" s="186"/>
    </row>
    <row r="120" spans="1:18" x14ac:dyDescent="0.2">
      <c r="A120" s="169"/>
      <c r="B120" s="169"/>
      <c r="C120" s="169"/>
      <c r="D120" s="169"/>
      <c r="E120" s="169"/>
      <c r="F120" s="169"/>
      <c r="G120" s="169"/>
      <c r="H120" s="169"/>
      <c r="I120" s="169"/>
      <c r="J120" s="180"/>
      <c r="K120" s="180"/>
      <c r="L120" s="187"/>
      <c r="M120" s="187">
        <f>IF($A$1&gt;1,ROUND($L120*$V$16,0),0)</f>
        <v>0</v>
      </c>
      <c r="N120" s="187">
        <f>IF($A$1&gt;2,ROUND($L120*$V$16^2,0),0)</f>
        <v>0</v>
      </c>
      <c r="O120" s="187">
        <f>IF($A$1&gt;3,ROUND($L120*$V$16^3,0),0)</f>
        <v>0</v>
      </c>
      <c r="P120" s="187">
        <f>IF($A$1&gt;4,ROUND($L120*$V$16^4,0),0)</f>
        <v>0</v>
      </c>
      <c r="Q120" s="186">
        <f>SUM(L120:P120)</f>
        <v>0</v>
      </c>
      <c r="R120" s="86"/>
    </row>
    <row r="121" spans="1:18" x14ac:dyDescent="0.2">
      <c r="A121" s="169"/>
      <c r="B121" s="169"/>
      <c r="C121" s="169"/>
      <c r="D121" s="169"/>
      <c r="E121" s="169"/>
      <c r="F121" s="169"/>
      <c r="G121" s="169"/>
      <c r="H121" s="169"/>
      <c r="I121" s="169"/>
      <c r="J121" s="180"/>
      <c r="K121" s="180"/>
      <c r="L121" s="187"/>
      <c r="M121" s="187">
        <f>IF($A$1&gt;1,ROUND($L121*$V$16,0),0)</f>
        <v>0</v>
      </c>
      <c r="N121" s="187">
        <f>IF($A$1&gt;2,ROUND($L121*$V$16^2,0),0)</f>
        <v>0</v>
      </c>
      <c r="O121" s="187">
        <f>IF($A$1&gt;3,ROUND($L121*$V$16^3,0),0)</f>
        <v>0</v>
      </c>
      <c r="P121" s="187">
        <f>IF($A$1&gt;4,ROUND($L121*$V$16^4,0),0)</f>
        <v>0</v>
      </c>
      <c r="Q121" s="186">
        <f>SUM(L121:P121)</f>
        <v>0</v>
      </c>
      <c r="R121" s="86"/>
    </row>
    <row r="122" spans="1:18" x14ac:dyDescent="0.2">
      <c r="A122" s="169"/>
      <c r="B122" s="169"/>
      <c r="C122" s="169"/>
      <c r="D122" s="180"/>
      <c r="E122" s="169"/>
      <c r="F122" s="169"/>
      <c r="G122" s="169"/>
      <c r="H122" s="169"/>
      <c r="I122" s="169"/>
      <c r="J122" s="180"/>
      <c r="K122" s="180"/>
      <c r="L122" s="187"/>
      <c r="M122" s="187">
        <f>IF($A$1&gt;1,ROUND($L122*$V$16,0),0)</f>
        <v>0</v>
      </c>
      <c r="N122" s="187">
        <f>IF($A$1&gt;2,ROUND($L122*$V$16^2,0),0)</f>
        <v>0</v>
      </c>
      <c r="O122" s="187">
        <f>IF($A$1&gt;3,ROUND($L122*$V$16^3,0),0)</f>
        <v>0</v>
      </c>
      <c r="P122" s="187">
        <f>IF($A$1&gt;4,ROUND($L122*$V$16^4,0),0)</f>
        <v>0</v>
      </c>
      <c r="Q122" s="186">
        <f>SUM(L122:P122)</f>
        <v>0</v>
      </c>
    </row>
    <row r="123" spans="1:18" x14ac:dyDescent="0.2">
      <c r="A123" s="169"/>
      <c r="B123" s="180"/>
      <c r="C123" s="180"/>
      <c r="D123" s="180"/>
      <c r="E123" s="169"/>
      <c r="F123" s="169"/>
      <c r="G123" s="169"/>
      <c r="H123" s="169"/>
      <c r="I123" s="169"/>
      <c r="J123" s="180"/>
      <c r="K123" s="180"/>
      <c r="L123" s="212"/>
      <c r="M123" s="212">
        <f>IF($A$1&gt;1,ROUND($L123*$V$16,0),0)</f>
        <v>0</v>
      </c>
      <c r="N123" s="212">
        <f>IF($A$1&gt;2,ROUND($L123*$V$16^2,0),0)</f>
        <v>0</v>
      </c>
      <c r="O123" s="212">
        <f>IF($A$1&gt;3,ROUND($L123*$V$16^3,0),0)</f>
        <v>0</v>
      </c>
      <c r="P123" s="212">
        <f>IF($A$1&gt;4,ROUND($L123*$V$16^4,0),0)</f>
        <v>0</v>
      </c>
      <c r="Q123" s="213">
        <f>SUM(L123:P123)</f>
        <v>0</v>
      </c>
    </row>
    <row r="124" spans="1:18" ht="13.5" collapsed="1" x14ac:dyDescent="0.25">
      <c r="A124" s="169"/>
      <c r="B124" s="169"/>
      <c r="C124" s="169"/>
      <c r="D124" s="169"/>
      <c r="E124" s="169"/>
      <c r="F124" s="169"/>
      <c r="G124" s="169"/>
      <c r="H124" s="171"/>
      <c r="I124" s="171"/>
      <c r="J124" s="226"/>
      <c r="K124" s="226" t="s">
        <v>292</v>
      </c>
      <c r="L124" s="227">
        <f>SUM(L120:L123)</f>
        <v>0</v>
      </c>
      <c r="M124" s="227">
        <f>SUM(M120:M123)</f>
        <v>0</v>
      </c>
      <c r="N124" s="227">
        <f>SUM(N120:N123)</f>
        <v>0</v>
      </c>
      <c r="O124" s="227">
        <f>SUM(O120:O123)</f>
        <v>0</v>
      </c>
      <c r="P124" s="227">
        <f>SUM(P120:P123)</f>
        <v>0</v>
      </c>
      <c r="Q124" s="228">
        <f>SUM(L124:P124)</f>
        <v>0</v>
      </c>
    </row>
    <row r="125" spans="1:18" x14ac:dyDescent="0.2">
      <c r="A125" s="172" t="s">
        <v>259</v>
      </c>
      <c r="B125" s="225" t="s">
        <v>260</v>
      </c>
      <c r="C125" s="225"/>
      <c r="D125" s="225"/>
      <c r="E125" s="169"/>
      <c r="F125" s="169"/>
      <c r="G125" s="169"/>
      <c r="H125" s="169"/>
      <c r="I125" s="169"/>
      <c r="J125" s="180"/>
      <c r="K125" s="180"/>
      <c r="L125" s="187"/>
      <c r="M125" s="187"/>
      <c r="N125" s="187"/>
      <c r="O125" s="187"/>
      <c r="P125" s="187"/>
      <c r="Q125" s="186"/>
    </row>
    <row r="126" spans="1:18" x14ac:dyDescent="0.2">
      <c r="A126" s="169"/>
      <c r="B126" s="465"/>
      <c r="C126" s="169"/>
      <c r="D126" s="169"/>
      <c r="E126" s="169"/>
      <c r="F126" s="169"/>
      <c r="G126" s="169"/>
      <c r="H126" s="169"/>
      <c r="I126" s="169"/>
      <c r="J126" s="180"/>
      <c r="K126" s="180"/>
      <c r="L126" s="187"/>
      <c r="M126" s="187">
        <f>IF($A$1&gt;1,ROUND($L126*$V$16,0),0)</f>
        <v>0</v>
      </c>
      <c r="N126" s="187">
        <f>IF($A$1&gt;2,ROUND($L126*$V$16^2,0),0)</f>
        <v>0</v>
      </c>
      <c r="O126" s="187">
        <f>IF($A$1&gt;3,ROUND($L126*$V$16^3,0),0)</f>
        <v>0</v>
      </c>
      <c r="P126" s="187">
        <f>IF($A$1&gt;4,ROUND($L126*$V$16^4,0),0)</f>
        <v>0</v>
      </c>
      <c r="Q126" s="186">
        <f t="shared" ref="Q126:Q131" si="28">SUM(L126:P126)</f>
        <v>0</v>
      </c>
      <c r="R126" s="86"/>
    </row>
    <row r="127" spans="1:18" x14ac:dyDescent="0.2">
      <c r="A127" s="169"/>
      <c r="B127" s="465"/>
      <c r="C127" s="169"/>
      <c r="D127" s="169"/>
      <c r="E127" s="169"/>
      <c r="F127" s="169"/>
      <c r="G127" s="169"/>
      <c r="H127" s="169"/>
      <c r="I127" s="169"/>
      <c r="J127" s="180"/>
      <c r="K127" s="180"/>
      <c r="L127" s="187"/>
      <c r="M127" s="187">
        <f>IF($A$1&gt;1,ROUND($L127*$V$16,0),0)</f>
        <v>0</v>
      </c>
      <c r="N127" s="187">
        <f>IF($A$1&gt;2,ROUND($L127*$V$16^2,0),0)</f>
        <v>0</v>
      </c>
      <c r="O127" s="187">
        <f>IF($A$1&gt;3,ROUND($L127*$V$16^3,0),0)</f>
        <v>0</v>
      </c>
      <c r="P127" s="187">
        <f>IF($A$1&gt;4,ROUND($L127*$V$16^4,0),0)</f>
        <v>0</v>
      </c>
      <c r="Q127" s="186">
        <f t="shared" si="28"/>
        <v>0</v>
      </c>
      <c r="R127" s="86"/>
    </row>
    <row r="128" spans="1:18" x14ac:dyDescent="0.2">
      <c r="A128" s="169"/>
      <c r="B128" s="465"/>
      <c r="C128" s="169"/>
      <c r="D128" s="180"/>
      <c r="E128" s="169"/>
      <c r="F128" s="169"/>
      <c r="G128" s="169"/>
      <c r="H128" s="169"/>
      <c r="I128" s="169"/>
      <c r="J128" s="180"/>
      <c r="K128" s="180"/>
      <c r="L128" s="187"/>
      <c r="M128" s="187">
        <f>IF($A$1&gt;1,ROUND($L128*$V$16,0),0)</f>
        <v>0</v>
      </c>
      <c r="N128" s="187">
        <f>IF($A$1&gt;2,ROUND($L128*$V$16^2,0),0)</f>
        <v>0</v>
      </c>
      <c r="O128" s="187">
        <f>IF($A$1&gt;3,ROUND($L128*$V$16^3,0),0)</f>
        <v>0</v>
      </c>
      <c r="P128" s="187">
        <f>IF($A$1&gt;4,ROUND($L128*$V$16^4,0),0)</f>
        <v>0</v>
      </c>
      <c r="Q128" s="186">
        <f t="shared" si="28"/>
        <v>0</v>
      </c>
    </row>
    <row r="129" spans="1:19" x14ac:dyDescent="0.2">
      <c r="A129" s="169"/>
      <c r="B129" s="465"/>
      <c r="C129" s="169"/>
      <c r="D129" s="180"/>
      <c r="E129" s="169"/>
      <c r="F129" s="169"/>
      <c r="G129" s="169"/>
      <c r="H129" s="169"/>
      <c r="I129" s="169"/>
      <c r="J129" s="180"/>
      <c r="K129" s="180"/>
      <c r="L129" s="187"/>
      <c r="M129" s="187">
        <f>IF($A$1&gt;1,ROUND($L129*$V$16,0),0)</f>
        <v>0</v>
      </c>
      <c r="N129" s="187">
        <f>IF($A$1&gt;2,ROUND($L129*$V$16^2,0),0)</f>
        <v>0</v>
      </c>
      <c r="O129" s="187">
        <f>IF($A$1&gt;3,ROUND($L129*$V$16^3,0),0)</f>
        <v>0</v>
      </c>
      <c r="P129" s="187">
        <f>IF($A$1&gt;4,ROUND($L129*$V$16^4,0),0)</f>
        <v>0</v>
      </c>
      <c r="Q129" s="186">
        <f t="shared" si="28"/>
        <v>0</v>
      </c>
    </row>
    <row r="130" spans="1:19" x14ac:dyDescent="0.2">
      <c r="A130" s="169"/>
      <c r="B130" s="466"/>
      <c r="C130" s="169"/>
      <c r="D130" s="180"/>
      <c r="E130" s="169"/>
      <c r="F130" s="169"/>
      <c r="G130" s="169"/>
      <c r="H130" s="169"/>
      <c r="I130" s="169"/>
      <c r="J130" s="180"/>
      <c r="K130" s="180"/>
      <c r="L130" s="187"/>
      <c r="M130" s="187">
        <f>IF($A$1&gt;1,ROUND($L130*$V$16,0),0)</f>
        <v>0</v>
      </c>
      <c r="N130" s="212">
        <f>IF($A$1&gt;2,ROUND($L130*$V$16^2,0),0)</f>
        <v>0</v>
      </c>
      <c r="O130" s="212">
        <f>IF($A$1&gt;3,ROUND($L130*$V$16^3,0),0)</f>
        <v>0</v>
      </c>
      <c r="P130" s="212">
        <f>IF($A$1&gt;4,ROUND($L130*$V$16^4,0),0)</f>
        <v>0</v>
      </c>
      <c r="Q130" s="213">
        <f t="shared" si="28"/>
        <v>0</v>
      </c>
    </row>
    <row r="131" spans="1:19" ht="13.5" collapsed="1" x14ac:dyDescent="0.25">
      <c r="A131" s="169"/>
      <c r="B131" s="169"/>
      <c r="C131" s="169"/>
      <c r="D131" s="169"/>
      <c r="E131" s="169"/>
      <c r="F131" s="169"/>
      <c r="G131" s="169"/>
      <c r="H131" s="171"/>
      <c r="I131" s="171"/>
      <c r="J131" s="226"/>
      <c r="K131" s="226" t="s">
        <v>293</v>
      </c>
      <c r="L131" s="227">
        <f>SUM(L126:L130)</f>
        <v>0</v>
      </c>
      <c r="M131" s="227">
        <f>SUM(M126:M130)</f>
        <v>0</v>
      </c>
      <c r="N131" s="227">
        <f>SUM(N126:N130)</f>
        <v>0</v>
      </c>
      <c r="O131" s="227">
        <f>SUM(O126:O130)</f>
        <v>0</v>
      </c>
      <c r="P131" s="227">
        <f>SUM(P126:P130)</f>
        <v>0</v>
      </c>
      <c r="Q131" s="228">
        <f t="shared" si="28"/>
        <v>0</v>
      </c>
    </row>
    <row r="132" spans="1:19" x14ac:dyDescent="0.2">
      <c r="A132" s="172" t="s">
        <v>261</v>
      </c>
      <c r="B132" s="225" t="s">
        <v>262</v>
      </c>
      <c r="C132" s="225"/>
      <c r="D132" s="225"/>
      <c r="E132" s="169"/>
      <c r="F132" s="169"/>
      <c r="G132" s="169"/>
      <c r="H132" s="169"/>
      <c r="I132" s="169"/>
      <c r="J132" s="180"/>
      <c r="K132" s="180"/>
      <c r="L132" s="187"/>
      <c r="M132" s="187"/>
      <c r="N132" s="187"/>
      <c r="O132" s="187"/>
      <c r="P132" s="187"/>
      <c r="Q132" s="186"/>
    </row>
    <row r="133" spans="1:19" x14ac:dyDescent="0.2">
      <c r="A133" s="169"/>
      <c r="B133" s="169"/>
      <c r="C133" s="169"/>
      <c r="D133" s="169"/>
      <c r="E133" s="169"/>
      <c r="F133" s="169"/>
      <c r="G133" s="169"/>
      <c r="H133" s="169"/>
      <c r="I133" s="169"/>
      <c r="J133" s="180"/>
      <c r="K133" s="180"/>
      <c r="L133" s="187"/>
      <c r="M133" s="187">
        <f>IF($A$1&gt;1,ROUND($L133*$V$16,0),0)</f>
        <v>0</v>
      </c>
      <c r="N133" s="187">
        <f>IF($A$1&gt;2,ROUND($L133*$V$16^2,0),0)</f>
        <v>0</v>
      </c>
      <c r="O133" s="187">
        <f>IF($A$1&gt;3,ROUND($L133*$V$16^3,0),0)</f>
        <v>0</v>
      </c>
      <c r="P133" s="187">
        <f>IF($A$1&gt;4,ROUND($L133*$V$16^4,0),0)</f>
        <v>0</v>
      </c>
      <c r="Q133" s="186">
        <f>SUM(L133:P133)</f>
        <v>0</v>
      </c>
      <c r="R133" s="86"/>
    </row>
    <row r="134" spans="1:19" x14ac:dyDescent="0.2">
      <c r="A134" s="169"/>
      <c r="B134" s="169"/>
      <c r="C134" s="169"/>
      <c r="D134" s="169"/>
      <c r="E134" s="169"/>
      <c r="F134" s="169"/>
      <c r="G134" s="169"/>
      <c r="H134" s="169"/>
      <c r="I134" s="169"/>
      <c r="J134" s="180"/>
      <c r="K134" s="180"/>
      <c r="L134" s="187"/>
      <c r="M134" s="187">
        <f>IF($A$1&gt;1,ROUND($L134*$V$16,0),0)</f>
        <v>0</v>
      </c>
      <c r="N134" s="187">
        <f>IF($A$1&gt;2,ROUND($L134*$V$16^2,0),0)</f>
        <v>0</v>
      </c>
      <c r="O134" s="187">
        <f>IF($A$1&gt;3,ROUND($L134*$V$16^3,0),0)</f>
        <v>0</v>
      </c>
      <c r="P134" s="187">
        <f>IF($A$1&gt;4,ROUND($L134*$V$16^4,0),0)</f>
        <v>0</v>
      </c>
      <c r="Q134" s="186">
        <f>SUM(L134:P134)</f>
        <v>0</v>
      </c>
      <c r="R134" s="86"/>
    </row>
    <row r="135" spans="1:19" x14ac:dyDescent="0.2">
      <c r="A135" s="169"/>
      <c r="B135" s="169"/>
      <c r="C135" s="169"/>
      <c r="D135" s="180"/>
      <c r="E135" s="169"/>
      <c r="F135" s="169"/>
      <c r="G135" s="169"/>
      <c r="H135" s="169"/>
      <c r="I135" s="169"/>
      <c r="J135" s="180"/>
      <c r="K135" s="180"/>
      <c r="L135" s="187"/>
      <c r="M135" s="187">
        <f>IF($A$1&gt;1,ROUND($L135*$V$16,0),0)</f>
        <v>0</v>
      </c>
      <c r="N135" s="187">
        <f>IF($A$1&gt;2,ROUND($L135*$V$16^2,0),0)</f>
        <v>0</v>
      </c>
      <c r="O135" s="187">
        <f>IF($A$1&gt;3,ROUND($L135*$V$16^3,0),0)</f>
        <v>0</v>
      </c>
      <c r="P135" s="187">
        <f>IF($A$1&gt;4,ROUND($L135*$V$16^4,0),0)</f>
        <v>0</v>
      </c>
      <c r="Q135" s="186">
        <f>SUM(L135:P135)</f>
        <v>0</v>
      </c>
    </row>
    <row r="136" spans="1:19" x14ac:dyDescent="0.2">
      <c r="A136" s="169"/>
      <c r="B136" s="180"/>
      <c r="C136" s="180"/>
      <c r="D136" s="180"/>
      <c r="E136" s="169"/>
      <c r="F136" s="169"/>
      <c r="G136" s="169"/>
      <c r="H136" s="169"/>
      <c r="I136" s="169"/>
      <c r="J136" s="180"/>
      <c r="K136" s="180"/>
      <c r="L136" s="212"/>
      <c r="M136" s="212">
        <f>IF($A$1&gt;1,ROUND($L136*$V$16,0),0)</f>
        <v>0</v>
      </c>
      <c r="N136" s="212">
        <f>IF($A$1&gt;2,ROUND($L136*$V$16^2,0),0)</f>
        <v>0</v>
      </c>
      <c r="O136" s="212">
        <f>IF($A$1&gt;3,ROUND($L136*$V$16^3,0),0)</f>
        <v>0</v>
      </c>
      <c r="P136" s="212">
        <f>IF($A$1&gt;4,ROUND($L136*$V$16^4,0),0)</f>
        <v>0</v>
      </c>
      <c r="Q136" s="213">
        <f>SUM(L136:P136)</f>
        <v>0</v>
      </c>
    </row>
    <row r="137" spans="1:19" ht="13.5" collapsed="1" x14ac:dyDescent="0.25">
      <c r="A137" s="169"/>
      <c r="B137" s="169"/>
      <c r="C137" s="169"/>
      <c r="D137" s="169"/>
      <c r="E137" s="169"/>
      <c r="F137" s="169"/>
      <c r="G137" s="169"/>
      <c r="H137" s="171"/>
      <c r="I137" s="171"/>
      <c r="J137" s="226"/>
      <c r="K137" s="226" t="s">
        <v>302</v>
      </c>
      <c r="L137" s="227">
        <f>SUM(L133:L136)</f>
        <v>0</v>
      </c>
      <c r="M137" s="227">
        <f>SUM(M133:M136)</f>
        <v>0</v>
      </c>
      <c r="N137" s="227">
        <f>SUM(N133:N136)</f>
        <v>0</v>
      </c>
      <c r="O137" s="227">
        <f>SUM(O133:O136)</f>
        <v>0</v>
      </c>
      <c r="P137" s="227">
        <f>SUM(P133:P136)</f>
        <v>0</v>
      </c>
      <c r="Q137" s="228">
        <f>SUM(L137:P137)</f>
        <v>0</v>
      </c>
    </row>
    <row r="138" spans="1:19" x14ac:dyDescent="0.2">
      <c r="A138" s="172" t="s">
        <v>263</v>
      </c>
      <c r="B138" s="225" t="s">
        <v>227</v>
      </c>
      <c r="C138" s="225"/>
      <c r="D138" s="225"/>
      <c r="E138" s="206"/>
      <c r="F138" s="206"/>
      <c r="G138" s="206"/>
      <c r="H138" s="206"/>
      <c r="I138" s="206"/>
      <c r="J138" s="180"/>
      <c r="K138" s="180"/>
      <c r="L138" s="187"/>
      <c r="M138" s="218"/>
      <c r="N138" s="218"/>
      <c r="O138" s="218"/>
      <c r="P138" s="218"/>
      <c r="Q138" s="186"/>
      <c r="R138" s="12" t="s">
        <v>21</v>
      </c>
    </row>
    <row r="139" spans="1:19" x14ac:dyDescent="0.2">
      <c r="A139" s="169"/>
      <c r="B139" s="206" t="s">
        <v>384</v>
      </c>
      <c r="C139" s="206"/>
      <c r="D139" s="206"/>
      <c r="E139" s="206"/>
      <c r="F139" s="206"/>
      <c r="G139" s="206"/>
      <c r="H139" s="206"/>
      <c r="I139" s="206"/>
      <c r="J139" s="180"/>
      <c r="K139" s="180" t="s">
        <v>47</v>
      </c>
      <c r="L139" s="208"/>
      <c r="M139" s="208"/>
      <c r="N139" s="208"/>
      <c r="O139" s="208"/>
      <c r="P139" s="208"/>
      <c r="Q139" s="185">
        <f>SUM(L139:P139)</f>
        <v>0</v>
      </c>
      <c r="R139" s="13" t="s">
        <v>22</v>
      </c>
      <c r="S139" s="21"/>
    </row>
    <row r="140" spans="1:19" x14ac:dyDescent="0.2">
      <c r="A140" s="169"/>
      <c r="B140" s="206"/>
      <c r="C140" s="206"/>
      <c r="D140" s="206"/>
      <c r="E140" s="206"/>
      <c r="F140" s="206"/>
      <c r="G140" s="206"/>
      <c r="H140" s="206"/>
      <c r="I140" s="206"/>
      <c r="J140" s="180"/>
      <c r="K140" s="180" t="s">
        <v>18</v>
      </c>
      <c r="L140" s="471"/>
      <c r="M140" s="471"/>
      <c r="N140" s="471"/>
      <c r="O140" s="471"/>
      <c r="P140" s="471"/>
      <c r="Q140" s="306">
        <f t="shared" ref="Q140:Q154" si="29">SUM(L140:P140)</f>
        <v>0</v>
      </c>
      <c r="R140" s="18">
        <f>SUM(Q139:Q140)</f>
        <v>0</v>
      </c>
    </row>
    <row r="141" spans="1:19" x14ac:dyDescent="0.2">
      <c r="A141" s="169"/>
      <c r="B141" s="206"/>
      <c r="C141" s="206"/>
      <c r="D141" s="206"/>
      <c r="E141" s="206"/>
      <c r="F141" s="206"/>
      <c r="G141" s="206"/>
      <c r="H141" s="206"/>
      <c r="I141" s="206"/>
      <c r="J141" s="180"/>
      <c r="K141" s="216" t="s">
        <v>231</v>
      </c>
      <c r="L141" s="208">
        <f t="shared" ref="L141:Q141" si="30">SUM(L139:L140)</f>
        <v>0</v>
      </c>
      <c r="M141" s="208">
        <f t="shared" si="30"/>
        <v>0</v>
      </c>
      <c r="N141" s="208">
        <f t="shared" si="30"/>
        <v>0</v>
      </c>
      <c r="O141" s="208">
        <f t="shared" si="30"/>
        <v>0</v>
      </c>
      <c r="P141" s="472">
        <f t="shared" si="30"/>
        <v>0</v>
      </c>
      <c r="Q141" s="208">
        <f t="shared" si="30"/>
        <v>0</v>
      </c>
      <c r="R141" s="18"/>
    </row>
    <row r="142" spans="1:19" ht="13.5" thickBot="1" x14ac:dyDescent="0.25">
      <c r="A142" s="169" t="s">
        <v>25</v>
      </c>
      <c r="B142" s="231"/>
      <c r="C142" s="231"/>
      <c r="D142" s="231"/>
      <c r="E142" s="231"/>
      <c r="F142" s="231"/>
      <c r="G142" s="231"/>
      <c r="H142" s="231"/>
      <c r="I142" s="231"/>
      <c r="J142" s="232"/>
      <c r="K142" s="232"/>
      <c r="L142" s="383"/>
      <c r="M142" s="383"/>
      <c r="N142" s="383"/>
      <c r="O142" s="210"/>
      <c r="P142" s="210"/>
      <c r="Q142" s="233"/>
      <c r="R142" s="18"/>
      <c r="S142" s="21"/>
    </row>
    <row r="143" spans="1:19" x14ac:dyDescent="0.2">
      <c r="A143" s="169"/>
      <c r="B143" s="234" t="s">
        <v>228</v>
      </c>
      <c r="C143" s="234"/>
      <c r="D143" s="234"/>
      <c r="E143" s="234"/>
      <c r="F143" s="234"/>
      <c r="G143" s="234"/>
      <c r="H143" s="234"/>
      <c r="I143" s="234"/>
      <c r="J143" s="235"/>
      <c r="K143" s="235" t="s">
        <v>47</v>
      </c>
      <c r="L143" s="208"/>
      <c r="M143" s="208"/>
      <c r="N143" s="208"/>
      <c r="O143" s="236"/>
      <c r="P143" s="236"/>
      <c r="Q143" s="237">
        <f t="shared" si="29"/>
        <v>0</v>
      </c>
      <c r="R143" s="14"/>
    </row>
    <row r="144" spans="1:19" x14ac:dyDescent="0.2">
      <c r="A144" s="169"/>
      <c r="B144" s="206"/>
      <c r="C144" s="206"/>
      <c r="D144" s="206"/>
      <c r="E144" s="206"/>
      <c r="F144" s="206"/>
      <c r="G144" s="206"/>
      <c r="H144" s="206"/>
      <c r="I144" s="206"/>
      <c r="J144" s="180"/>
      <c r="K144" s="180" t="s">
        <v>18</v>
      </c>
      <c r="L144" s="471"/>
      <c r="M144" s="471"/>
      <c r="N144" s="471"/>
      <c r="O144" s="471"/>
      <c r="P144" s="473"/>
      <c r="Q144" s="471">
        <f t="shared" si="29"/>
        <v>0</v>
      </c>
      <c r="R144" s="18">
        <f>SUM(Q143:Q144)</f>
        <v>0</v>
      </c>
    </row>
    <row r="145" spans="1:22" x14ac:dyDescent="0.2">
      <c r="A145" s="169"/>
      <c r="B145" s="206"/>
      <c r="C145" s="206"/>
      <c r="D145" s="206"/>
      <c r="E145" s="206"/>
      <c r="F145" s="206"/>
      <c r="G145" s="206"/>
      <c r="H145" s="206"/>
      <c r="I145" s="206"/>
      <c r="J145" s="180"/>
      <c r="K145" s="216" t="s">
        <v>231</v>
      </c>
      <c r="L145" s="208">
        <f t="shared" ref="L145:Q145" si="31">SUM(L143:L144)</f>
        <v>0</v>
      </c>
      <c r="M145" s="208">
        <f t="shared" si="31"/>
        <v>0</v>
      </c>
      <c r="N145" s="208">
        <f t="shared" si="31"/>
        <v>0</v>
      </c>
      <c r="O145" s="208">
        <f t="shared" si="31"/>
        <v>0</v>
      </c>
      <c r="P145" s="474">
        <f t="shared" si="31"/>
        <v>0</v>
      </c>
      <c r="Q145" s="208">
        <f t="shared" si="31"/>
        <v>0</v>
      </c>
      <c r="R145" s="18"/>
      <c r="S145" s="21"/>
    </row>
    <row r="146" spans="1:22" ht="13.5" thickBot="1" x14ac:dyDescent="0.25">
      <c r="A146" s="169"/>
      <c r="B146" s="231"/>
      <c r="C146" s="231"/>
      <c r="D146" s="231"/>
      <c r="E146" s="231"/>
      <c r="F146" s="231"/>
      <c r="G146" s="231"/>
      <c r="H146" s="231"/>
      <c r="I146" s="231"/>
      <c r="J146" s="232"/>
      <c r="K146" s="232"/>
      <c r="L146" s="384"/>
      <c r="M146" s="384"/>
      <c r="N146" s="384"/>
      <c r="O146" s="210"/>
      <c r="P146" s="210"/>
      <c r="Q146" s="233"/>
      <c r="R146" s="18"/>
      <c r="S146" s="21"/>
    </row>
    <row r="147" spans="1:22" x14ac:dyDescent="0.2">
      <c r="A147" s="169"/>
      <c r="B147" s="234" t="s">
        <v>229</v>
      </c>
      <c r="C147" s="234"/>
      <c r="D147" s="234"/>
      <c r="E147" s="234"/>
      <c r="F147" s="234"/>
      <c r="G147" s="234"/>
      <c r="H147" s="234"/>
      <c r="I147" s="234"/>
      <c r="J147" s="235"/>
      <c r="K147" s="235" t="s">
        <v>47</v>
      </c>
      <c r="L147" s="208"/>
      <c r="M147" s="208"/>
      <c r="N147" s="208"/>
      <c r="O147" s="236"/>
      <c r="P147" s="236"/>
      <c r="Q147" s="237">
        <f t="shared" si="29"/>
        <v>0</v>
      </c>
      <c r="R147" s="14"/>
    </row>
    <row r="148" spans="1:22" x14ac:dyDescent="0.2">
      <c r="A148" s="169"/>
      <c r="B148" s="206"/>
      <c r="C148" s="206"/>
      <c r="D148" s="206"/>
      <c r="E148" s="206"/>
      <c r="F148" s="206"/>
      <c r="G148" s="206"/>
      <c r="H148" s="206"/>
      <c r="I148" s="206"/>
      <c r="J148" s="180"/>
      <c r="K148" s="180" t="s">
        <v>18</v>
      </c>
      <c r="L148" s="471"/>
      <c r="M148" s="471"/>
      <c r="N148" s="471"/>
      <c r="O148" s="471"/>
      <c r="P148" s="471"/>
      <c r="Q148" s="306">
        <f t="shared" si="29"/>
        <v>0</v>
      </c>
      <c r="R148" s="18">
        <f>SUM(Q147:Q148)</f>
        <v>0</v>
      </c>
    </row>
    <row r="149" spans="1:22" x14ac:dyDescent="0.2">
      <c r="A149" s="169"/>
      <c r="B149" s="206"/>
      <c r="C149" s="206"/>
      <c r="D149" s="206"/>
      <c r="E149" s="206"/>
      <c r="F149" s="206"/>
      <c r="G149" s="206"/>
      <c r="H149" s="206"/>
      <c r="I149" s="206"/>
      <c r="J149" s="180"/>
      <c r="K149" s="216" t="s">
        <v>231</v>
      </c>
      <c r="L149" s="208">
        <f t="shared" ref="L149:Q149" si="32">SUM(L147:L148)</f>
        <v>0</v>
      </c>
      <c r="M149" s="208">
        <f t="shared" si="32"/>
        <v>0</v>
      </c>
      <c r="N149" s="208">
        <f t="shared" si="32"/>
        <v>0</v>
      </c>
      <c r="O149" s="208">
        <f t="shared" si="32"/>
        <v>0</v>
      </c>
      <c r="P149" s="472">
        <f t="shared" si="32"/>
        <v>0</v>
      </c>
      <c r="Q149" s="208">
        <f t="shared" si="32"/>
        <v>0</v>
      </c>
      <c r="R149" s="18"/>
      <c r="S149" s="21"/>
    </row>
    <row r="150" spans="1:22" ht="13.5" thickBot="1" x14ac:dyDescent="0.25">
      <c r="A150" s="169"/>
      <c r="B150" s="231"/>
      <c r="C150" s="231"/>
      <c r="D150" s="231"/>
      <c r="E150" s="231"/>
      <c r="F150" s="231"/>
      <c r="G150" s="231"/>
      <c r="H150" s="231"/>
      <c r="I150" s="231"/>
      <c r="J150" s="232"/>
      <c r="K150" s="232"/>
      <c r="L150" s="210"/>
      <c r="M150" s="210"/>
      <c r="N150" s="210"/>
      <c r="O150" s="210"/>
      <c r="P150" s="210"/>
      <c r="Q150" s="233"/>
      <c r="R150" s="18"/>
      <c r="S150" s="21"/>
    </row>
    <row r="151" spans="1:22" collapsed="1" x14ac:dyDescent="0.2">
      <c r="A151" s="169"/>
      <c r="B151" s="238"/>
      <c r="C151" s="238"/>
      <c r="D151" s="238"/>
      <c r="E151" s="239" t="s">
        <v>19</v>
      </c>
      <c r="F151" s="239"/>
      <c r="G151" s="239"/>
      <c r="H151" s="239"/>
      <c r="I151" s="239"/>
      <c r="J151" s="239"/>
      <c r="K151" s="239" t="s">
        <v>48</v>
      </c>
      <c r="L151" s="240">
        <f>L139+L143+L147</f>
        <v>0</v>
      </c>
      <c r="M151" s="240">
        <f>IF($A$1&gt;1,M139+M143+M147,0)</f>
        <v>0</v>
      </c>
      <c r="N151" s="240">
        <f>IF($A$1&gt;2,N139+N143+N147,0)</f>
        <v>0</v>
      </c>
      <c r="O151" s="240">
        <f>IF($A$1&gt;3,O139+O143+O147,0)</f>
        <v>0</v>
      </c>
      <c r="P151" s="240">
        <f>IF($A$1&gt;4,P139+P143+P147,0)</f>
        <v>0</v>
      </c>
      <c r="Q151" s="241">
        <f>SUM(L151:P151)</f>
        <v>0</v>
      </c>
      <c r="R151" s="14"/>
    </row>
    <row r="152" spans="1:22" x14ac:dyDescent="0.2">
      <c r="A152" s="169"/>
      <c r="B152" s="242"/>
      <c r="C152" s="242"/>
      <c r="D152" s="242"/>
      <c r="E152" s="243" t="s">
        <v>19</v>
      </c>
      <c r="F152" s="243"/>
      <c r="G152" s="243"/>
      <c r="H152" s="243"/>
      <c r="I152" s="243"/>
      <c r="J152" s="243"/>
      <c r="K152" s="243" t="s">
        <v>20</v>
      </c>
      <c r="L152" s="212">
        <f>L140+L144+L148</f>
        <v>0</v>
      </c>
      <c r="M152" s="212">
        <f>IF($A$1&gt;1,M140+M144+M148,0)</f>
        <v>0</v>
      </c>
      <c r="N152" s="212">
        <f>IF($A$1&gt;2,N140+N144+N148,0)</f>
        <v>0</v>
      </c>
      <c r="O152" s="212">
        <f>IF($A$1&gt;3,O140+O144+O148,0)</f>
        <v>0</v>
      </c>
      <c r="P152" s="212">
        <f>IF($A$1&gt;4,P140+P144+P148,0)</f>
        <v>0</v>
      </c>
      <c r="Q152" s="244">
        <f t="shared" si="29"/>
        <v>0</v>
      </c>
      <c r="R152" s="19">
        <f>SUM(Q151:Q152)</f>
        <v>0</v>
      </c>
    </row>
    <row r="153" spans="1:22" ht="6" customHeight="1" x14ac:dyDescent="0.2">
      <c r="A153" s="169"/>
      <c r="B153" s="245"/>
      <c r="C153" s="245"/>
      <c r="D153" s="231"/>
      <c r="E153" s="231"/>
      <c r="F153" s="231"/>
      <c r="G153" s="231"/>
      <c r="H153" s="231"/>
      <c r="I153" s="231"/>
      <c r="J153" s="232"/>
      <c r="K153" s="232"/>
      <c r="L153" s="246"/>
      <c r="M153" s="246"/>
      <c r="N153" s="246"/>
      <c r="O153" s="246"/>
      <c r="P153" s="246"/>
      <c r="Q153" s="247"/>
      <c r="R153" s="132"/>
      <c r="T153" s="9"/>
      <c r="U153" s="14"/>
      <c r="V153" s="14"/>
    </row>
    <row r="154" spans="1:22" ht="13.5" x14ac:dyDescent="0.25">
      <c r="A154" s="169"/>
      <c r="B154" s="242"/>
      <c r="C154" s="242"/>
      <c r="D154" s="242"/>
      <c r="E154" s="243"/>
      <c r="F154" s="243"/>
      <c r="G154" s="248"/>
      <c r="H154" s="248"/>
      <c r="I154" s="248"/>
      <c r="J154" s="248"/>
      <c r="K154" s="248" t="s">
        <v>19</v>
      </c>
      <c r="L154" s="218">
        <f>L151+L152</f>
        <v>0</v>
      </c>
      <c r="M154" s="218">
        <f>IF($A$1&gt;1,M151+M152,0)</f>
        <v>0</v>
      </c>
      <c r="N154" s="218">
        <f>IF($A$1&gt;2,N151+N152,0)</f>
        <v>0</v>
      </c>
      <c r="O154" s="218">
        <f>IF($A$1&gt;3,O151+O152,0)</f>
        <v>0</v>
      </c>
      <c r="P154" s="218">
        <f>IF($A$1&gt;4,P151+P152,0)</f>
        <v>0</v>
      </c>
      <c r="Q154" s="229">
        <f t="shared" si="29"/>
        <v>0</v>
      </c>
    </row>
    <row r="155" spans="1:22" ht="13.5" x14ac:dyDescent="0.25">
      <c r="A155" s="172" t="s">
        <v>265</v>
      </c>
      <c r="B155" s="225" t="s">
        <v>266</v>
      </c>
      <c r="C155" s="242"/>
      <c r="D155" s="242"/>
      <c r="E155" s="243"/>
      <c r="F155" s="243"/>
      <c r="G155" s="248"/>
      <c r="H155" s="248"/>
      <c r="I155" s="248"/>
      <c r="J155" s="248"/>
      <c r="K155" s="248"/>
      <c r="L155" s="218"/>
      <c r="M155" s="218"/>
      <c r="N155" s="218"/>
      <c r="O155" s="218"/>
      <c r="P155" s="218"/>
      <c r="Q155" s="229"/>
    </row>
    <row r="156" spans="1:22" x14ac:dyDescent="0.2">
      <c r="A156" s="172"/>
      <c r="B156" s="169"/>
      <c r="C156" s="169"/>
      <c r="D156" s="180"/>
      <c r="E156" s="169"/>
      <c r="F156" s="169"/>
      <c r="G156" s="169"/>
      <c r="H156" s="169"/>
      <c r="I156" s="169"/>
      <c r="J156" s="180"/>
      <c r="K156" s="180"/>
      <c r="L156" s="187"/>
      <c r="M156" s="187">
        <f>IF($A$1&gt;1,ROUND($L156*$V$16,0),0)</f>
        <v>0</v>
      </c>
      <c r="N156" s="187">
        <f>IF($A$1&gt;2,ROUND($L156*$V$16^2,0),0)</f>
        <v>0</v>
      </c>
      <c r="O156" s="187">
        <f>IF($A$1&gt;3,ROUND($L156*$V$16^3,0),0)</f>
        <v>0</v>
      </c>
      <c r="P156" s="187">
        <f>IF($A$1&gt;4,ROUND($L156*$V$16^4,0),0)</f>
        <v>0</v>
      </c>
      <c r="Q156" s="186">
        <f>SUM(L156:P156)</f>
        <v>0</v>
      </c>
    </row>
    <row r="157" spans="1:22" x14ac:dyDescent="0.2">
      <c r="A157" s="172"/>
      <c r="B157" s="180"/>
      <c r="C157" s="180"/>
      <c r="D157" s="180"/>
      <c r="E157" s="169"/>
      <c r="F157" s="169"/>
      <c r="G157" s="169"/>
      <c r="H157" s="169"/>
      <c r="I157" s="169"/>
      <c r="J157" s="180"/>
      <c r="K157" s="180"/>
      <c r="L157" s="212"/>
      <c r="M157" s="212">
        <f>IF($A$1&gt;1,ROUND($L157*$V$16,0),0)</f>
        <v>0</v>
      </c>
      <c r="N157" s="212">
        <f>IF($A$1&gt;2,ROUND($L157*$V$16^2,0),0)</f>
        <v>0</v>
      </c>
      <c r="O157" s="212">
        <f>IF($A$1&gt;3,ROUND($L157*$V$16^3,0),0)</f>
        <v>0</v>
      </c>
      <c r="P157" s="212">
        <f>IF($A$1&gt;4,ROUND($L157*$V$16^4,0),0)</f>
        <v>0</v>
      </c>
      <c r="Q157" s="213">
        <f>SUM(L157:P157)</f>
        <v>0</v>
      </c>
    </row>
    <row r="158" spans="1:22" ht="13.5" x14ac:dyDescent="0.25">
      <c r="A158" s="172"/>
      <c r="B158" s="169"/>
      <c r="C158" s="169"/>
      <c r="D158" s="169"/>
      <c r="E158" s="169"/>
      <c r="F158" s="169"/>
      <c r="G158" s="169"/>
      <c r="H158" s="171"/>
      <c r="I158" s="171"/>
      <c r="J158" s="226"/>
      <c r="K158" s="226" t="s">
        <v>295</v>
      </c>
      <c r="L158" s="227">
        <f>SUM(L156:L157)</f>
        <v>0</v>
      </c>
      <c r="M158" s="227">
        <f>SUM(M156:M157)</f>
        <v>0</v>
      </c>
      <c r="N158" s="227">
        <f>SUM(N156:N157)</f>
        <v>0</v>
      </c>
      <c r="O158" s="227">
        <f>SUM(O156:O157)</f>
        <v>0</v>
      </c>
      <c r="P158" s="227">
        <f>SUM(P156:P157)</f>
        <v>0</v>
      </c>
      <c r="Q158" s="228">
        <f>SUM(L158:P158)</f>
        <v>0</v>
      </c>
    </row>
    <row r="159" spans="1:22" ht="13.5" x14ac:dyDescent="0.25">
      <c r="A159" s="172"/>
      <c r="B159" s="169"/>
      <c r="C159" s="169"/>
      <c r="D159" s="169"/>
      <c r="E159" s="169"/>
      <c r="F159" s="169"/>
      <c r="G159" s="169"/>
      <c r="H159" s="171"/>
      <c r="I159" s="171"/>
      <c r="J159" s="226"/>
      <c r="K159" s="226"/>
      <c r="L159" s="376"/>
      <c r="M159" s="376"/>
      <c r="N159" s="376"/>
      <c r="O159" s="376"/>
      <c r="P159" s="376"/>
      <c r="Q159" s="229"/>
    </row>
    <row r="160" spans="1:22" ht="13.5" x14ac:dyDescent="0.25">
      <c r="A160" s="172" t="s">
        <v>267</v>
      </c>
      <c r="B160" s="225" t="s">
        <v>268</v>
      </c>
      <c r="C160" s="242"/>
      <c r="D160" s="242"/>
      <c r="E160" s="243"/>
      <c r="F160" s="243"/>
      <c r="G160" s="248"/>
      <c r="H160" s="248"/>
      <c r="I160" s="248"/>
      <c r="J160" s="248"/>
      <c r="K160" s="248"/>
      <c r="L160" s="218"/>
      <c r="M160" s="218"/>
      <c r="N160" s="218"/>
      <c r="O160" s="218"/>
      <c r="P160" s="218"/>
      <c r="Q160" s="229"/>
    </row>
    <row r="161" spans="1:21" x14ac:dyDescent="0.2">
      <c r="A161" s="172"/>
      <c r="B161" s="169"/>
      <c r="C161" s="169"/>
      <c r="D161" s="180"/>
      <c r="E161" s="169"/>
      <c r="F161" s="169"/>
      <c r="G161" s="169"/>
      <c r="H161" s="169"/>
      <c r="I161" s="169"/>
      <c r="J161" s="180"/>
      <c r="K161" s="180"/>
      <c r="L161" s="187"/>
      <c r="M161" s="187">
        <f>IF($A$1&gt;1,ROUND($L161*$V$16,0),0)</f>
        <v>0</v>
      </c>
      <c r="N161" s="187">
        <f>IF($A$1&gt;2,ROUND($L161*$V$16^2,0),0)</f>
        <v>0</v>
      </c>
      <c r="O161" s="187">
        <f>IF($A$1&gt;3,ROUND($L161*$V$16^3,0),0)</f>
        <v>0</v>
      </c>
      <c r="P161" s="187">
        <f>IF($A$1&gt;4,ROUND($L161*$V$16^4,0),0)</f>
        <v>0</v>
      </c>
      <c r="Q161" s="186">
        <f>SUM(L161:P161)</f>
        <v>0</v>
      </c>
    </row>
    <row r="162" spans="1:21" x14ac:dyDescent="0.2">
      <c r="A162" s="172"/>
      <c r="B162" s="180"/>
      <c r="C162" s="180"/>
      <c r="D162" s="180"/>
      <c r="E162" s="169"/>
      <c r="F162" s="169"/>
      <c r="G162" s="169"/>
      <c r="H162" s="169"/>
      <c r="I162" s="169"/>
      <c r="J162" s="180"/>
      <c r="K162" s="180"/>
      <c r="L162" s="212"/>
      <c r="M162" s="212">
        <f>IF($A$1&gt;1,ROUND($L162*$V$16,0),0)</f>
        <v>0</v>
      </c>
      <c r="N162" s="212">
        <f>IF($A$1&gt;2,ROUND($L162*$V$16^2,0),0)</f>
        <v>0</v>
      </c>
      <c r="O162" s="212">
        <f>IF($A$1&gt;3,ROUND($L162*$V$16^3,0),0)</f>
        <v>0</v>
      </c>
      <c r="P162" s="212">
        <f>IF($A$1&gt;4,ROUND($L162*$V$16^4,0),0)</f>
        <v>0</v>
      </c>
      <c r="Q162" s="213">
        <f>SUM(L162:P162)</f>
        <v>0</v>
      </c>
    </row>
    <row r="163" spans="1:21" ht="13.5" collapsed="1" x14ac:dyDescent="0.25">
      <c r="A163" s="172"/>
      <c r="B163" s="169"/>
      <c r="C163" s="169"/>
      <c r="D163" s="169"/>
      <c r="E163" s="169"/>
      <c r="F163" s="169"/>
      <c r="G163" s="169"/>
      <c r="H163" s="171"/>
      <c r="I163" s="171"/>
      <c r="J163" s="226"/>
      <c r="K163" s="226" t="s">
        <v>297</v>
      </c>
      <c r="L163" s="227">
        <f>SUM(L161:L162)</f>
        <v>0</v>
      </c>
      <c r="M163" s="227">
        <f>SUM(M161:M162)</f>
        <v>0</v>
      </c>
      <c r="N163" s="227">
        <f>SUM(N161:N162)</f>
        <v>0</v>
      </c>
      <c r="O163" s="227">
        <f>SUM(O161:O162)</f>
        <v>0</v>
      </c>
      <c r="P163" s="227">
        <f>SUM(P161:P162)</f>
        <v>0</v>
      </c>
      <c r="Q163" s="228">
        <f>SUM(L163:P163)</f>
        <v>0</v>
      </c>
    </row>
    <row r="164" spans="1:21" x14ac:dyDescent="0.2">
      <c r="A164" s="169"/>
      <c r="B164" s="216"/>
      <c r="C164" s="216"/>
      <c r="D164" s="216"/>
      <c r="E164" s="216"/>
      <c r="F164" s="216"/>
      <c r="G164" s="216"/>
      <c r="H164" s="216"/>
      <c r="I164" s="216"/>
      <c r="J164" s="180"/>
      <c r="K164" s="180"/>
      <c r="L164" s="187"/>
      <c r="M164" s="218"/>
      <c r="N164" s="218"/>
      <c r="O164" s="218"/>
      <c r="P164" s="218"/>
      <c r="Q164" s="186"/>
      <c r="U164" s="1" t="s">
        <v>25</v>
      </c>
    </row>
    <row r="165" spans="1:21" x14ac:dyDescent="0.2">
      <c r="A165" s="172" t="s">
        <v>296</v>
      </c>
      <c r="B165" s="225" t="s">
        <v>299</v>
      </c>
      <c r="C165" s="225"/>
      <c r="D165" s="206"/>
      <c r="E165" s="206"/>
      <c r="F165" s="206"/>
      <c r="G165" s="206"/>
      <c r="H165" s="206"/>
      <c r="I165" s="206"/>
      <c r="J165" s="180"/>
      <c r="K165" s="180"/>
      <c r="L165" s="187"/>
      <c r="M165" s="187"/>
      <c r="N165" s="187"/>
      <c r="O165" s="187"/>
      <c r="P165" s="187"/>
      <c r="Q165" s="186"/>
    </row>
    <row r="166" spans="1:21" x14ac:dyDescent="0.2">
      <c r="A166" s="169"/>
      <c r="B166" s="206" t="s">
        <v>81</v>
      </c>
      <c r="C166" s="206"/>
      <c r="D166" s="206"/>
      <c r="E166" s="206"/>
      <c r="F166" s="206"/>
      <c r="G166" s="206"/>
      <c r="H166" s="206"/>
      <c r="I166" s="206"/>
      <c r="J166" s="206"/>
      <c r="K166" s="206"/>
      <c r="L166" s="187">
        <f>ROUND(V$11*(F44+(F51/3)),0)</f>
        <v>0</v>
      </c>
      <c r="M166" s="187">
        <f>IF($A$1&gt;1,ROUND(W$11*(G44+(G51/3)),0),0)</f>
        <v>0</v>
      </c>
      <c r="N166" s="187">
        <f>IF($A$1&gt;2,ROUND(X$11*(H44+(H51/3)),0),0)</f>
        <v>0</v>
      </c>
      <c r="O166" s="187">
        <f>IF($A$1&gt;3,ROUND(Y$11*(I44+(I51/3)),0),0)</f>
        <v>0</v>
      </c>
      <c r="P166" s="187">
        <f>IF($A$1&gt;4,ROUND(Z$11*(J44+(J51/3)),0),0)</f>
        <v>0</v>
      </c>
      <c r="Q166" s="186">
        <f>SUM(L166:P166)</f>
        <v>0</v>
      </c>
    </row>
    <row r="167" spans="1:21" x14ac:dyDescent="0.2">
      <c r="A167" s="169"/>
      <c r="B167" s="206" t="s">
        <v>82</v>
      </c>
      <c r="C167" s="206"/>
      <c r="D167" s="206"/>
      <c r="E167" s="206"/>
      <c r="F167" s="206"/>
      <c r="G167" s="206"/>
      <c r="H167" s="206"/>
      <c r="I167" s="206"/>
      <c r="J167" s="206"/>
      <c r="K167" s="206"/>
      <c r="L167" s="187">
        <f>ROUND(V$11*(F45+(F52/3)),0)</f>
        <v>0</v>
      </c>
      <c r="M167" s="187">
        <f>IF($A$1&gt;1,ROUND(W$11*(G45+(G52/3)),0),0)</f>
        <v>0</v>
      </c>
      <c r="N167" s="187">
        <f>IF($A$1&gt;2,ROUND(X$11*(H45+(H52/3)),0),0)</f>
        <v>0</v>
      </c>
      <c r="O167" s="187">
        <f>IF($A$1&gt;3,ROUND(Y$11*(I45+(I52/3)),0),0)</f>
        <v>0</v>
      </c>
      <c r="P167" s="187">
        <f>IF($A$1&gt;4,ROUND(Z$11*(J45+(J52/3)),0),0)</f>
        <v>0</v>
      </c>
      <c r="Q167" s="186">
        <f>SUM(L167:P167)</f>
        <v>0</v>
      </c>
    </row>
    <row r="168" spans="1:21" x14ac:dyDescent="0.2">
      <c r="A168" s="169"/>
      <c r="B168" s="206" t="s">
        <v>83</v>
      </c>
      <c r="C168" s="206"/>
      <c r="D168" s="206"/>
      <c r="E168" s="206"/>
      <c r="F168" s="206"/>
      <c r="G168" s="206"/>
      <c r="H168" s="206"/>
      <c r="I168" s="206"/>
      <c r="J168" s="180"/>
      <c r="K168" s="180"/>
      <c r="L168" s="212">
        <v>0</v>
      </c>
      <c r="M168" s="212">
        <f>IF($A$1&gt;1,ROUND($L168*$V$16,0),0)</f>
        <v>0</v>
      </c>
      <c r="N168" s="212">
        <f>IF($A$1&gt;2,ROUND($L168*$V$16^2,0),0)</f>
        <v>0</v>
      </c>
      <c r="O168" s="212">
        <f>IF($A$1&gt;3,ROUND($L168*$V$16^3,0),0)</f>
        <v>0</v>
      </c>
      <c r="P168" s="212">
        <f>IF($A$1&gt;4,ROUND($L168*$V$16^4,0),0)</f>
        <v>0</v>
      </c>
      <c r="Q168" s="213">
        <f>SUM(L168:P168)</f>
        <v>0</v>
      </c>
    </row>
    <row r="169" spans="1:21" ht="13.5" collapsed="1" x14ac:dyDescent="0.25">
      <c r="A169" s="169"/>
      <c r="B169" s="225" t="s">
        <v>128</v>
      </c>
      <c r="C169" s="225"/>
      <c r="D169" s="225"/>
      <c r="E169" s="225"/>
      <c r="F169" s="225"/>
      <c r="G169" s="225"/>
      <c r="H169" s="225"/>
      <c r="I169" s="225"/>
      <c r="J169" s="188"/>
      <c r="K169" s="226" t="s">
        <v>298</v>
      </c>
      <c r="L169" s="227">
        <f>SUM(L166:L168)</f>
        <v>0</v>
      </c>
      <c r="M169" s="227">
        <f>IF($A$1&gt;1,SUM(M166:M168),0)</f>
        <v>0</v>
      </c>
      <c r="N169" s="227">
        <f>IF($A$1&gt;2,SUM(N166:N168),0)</f>
        <v>0</v>
      </c>
      <c r="O169" s="227">
        <f>IF($A$1&gt;3,SUM(O166:O168),0)</f>
        <v>0</v>
      </c>
      <c r="P169" s="227">
        <f>IF($A$1&gt;4,SUM(P166:P168),0)</f>
        <v>0</v>
      </c>
      <c r="Q169" s="228">
        <f>SUM(L169:P169)</f>
        <v>0</v>
      </c>
    </row>
    <row r="170" spans="1:21" x14ac:dyDescent="0.2">
      <c r="A170" s="169"/>
      <c r="B170" s="225"/>
      <c r="C170" s="225"/>
      <c r="D170" s="225"/>
      <c r="E170" s="225"/>
      <c r="F170" s="225"/>
      <c r="G170" s="225"/>
      <c r="H170" s="225"/>
      <c r="I170" s="225"/>
      <c r="J170" s="188"/>
      <c r="K170" s="188"/>
      <c r="L170" s="218"/>
      <c r="M170" s="218"/>
      <c r="N170" s="218"/>
      <c r="O170" s="218"/>
      <c r="P170" s="218"/>
      <c r="Q170" s="229"/>
    </row>
    <row r="171" spans="1:21" x14ac:dyDescent="0.2">
      <c r="A171" s="172" t="s">
        <v>271</v>
      </c>
      <c r="B171" s="225" t="s">
        <v>300</v>
      </c>
      <c r="C171" s="225"/>
      <c r="D171" s="225"/>
      <c r="E171" s="169"/>
      <c r="F171" s="169"/>
      <c r="G171" s="169"/>
      <c r="H171" s="169"/>
      <c r="I171" s="169"/>
      <c r="J171" s="180"/>
      <c r="K171" s="180"/>
      <c r="L171" s="187"/>
      <c r="M171" s="187"/>
      <c r="N171" s="187"/>
      <c r="O171" s="187"/>
      <c r="P171" s="187"/>
      <c r="Q171" s="186"/>
    </row>
    <row r="172" spans="1:21" x14ac:dyDescent="0.2">
      <c r="A172" s="169"/>
      <c r="B172" s="169"/>
      <c r="C172" s="169"/>
      <c r="D172" s="169"/>
      <c r="E172" s="169"/>
      <c r="F172" s="169"/>
      <c r="G172" s="169"/>
      <c r="H172" s="169"/>
      <c r="I172" s="169"/>
      <c r="J172" s="180"/>
      <c r="K172" s="180"/>
      <c r="L172" s="187"/>
      <c r="M172" s="187">
        <f>IF($A$1&gt;1,ROUND($L172*$V$16,0),0)</f>
        <v>0</v>
      </c>
      <c r="N172" s="187">
        <f>IF($A$1&gt;2,ROUND($L172*$V$16^2,0),0)</f>
        <v>0</v>
      </c>
      <c r="O172" s="187">
        <f>IF($A$1&gt;3,ROUND($L172*$V$16^3,0),0)</f>
        <v>0</v>
      </c>
      <c r="P172" s="187">
        <f>IF($A$1&gt;4,ROUND($L172*$V$16^4,0),0)</f>
        <v>0</v>
      </c>
      <c r="Q172" s="186">
        <f>SUM(L172:P172)</f>
        <v>0</v>
      </c>
      <c r="R172" s="86"/>
    </row>
    <row r="173" spans="1:21" x14ac:dyDescent="0.2">
      <c r="A173" s="169"/>
      <c r="B173" s="169"/>
      <c r="C173" s="169"/>
      <c r="D173" s="180"/>
      <c r="E173" s="169"/>
      <c r="F173" s="169"/>
      <c r="G173" s="169"/>
      <c r="H173" s="169"/>
      <c r="I173" s="169"/>
      <c r="J173" s="180"/>
      <c r="K173" s="180"/>
      <c r="L173" s="187"/>
      <c r="M173" s="187">
        <f>IF($A$1&gt;1,ROUND($L173*$V$16,0),0)</f>
        <v>0</v>
      </c>
      <c r="N173" s="187">
        <f>IF($A$1&gt;2,ROUND($L173*$V$16^2,0),0)</f>
        <v>0</v>
      </c>
      <c r="O173" s="187">
        <f>IF($A$1&gt;3,ROUND($L173*$V$16^3,0),0)</f>
        <v>0</v>
      </c>
      <c r="P173" s="187">
        <f>IF($A$1&gt;4,ROUND($L173*$V$16^4,0),0)</f>
        <v>0</v>
      </c>
      <c r="Q173" s="186">
        <f>SUM(L173:P173)</f>
        <v>0</v>
      </c>
      <c r="R173" s="86"/>
    </row>
    <row r="174" spans="1:21" x14ac:dyDescent="0.2">
      <c r="A174" s="169"/>
      <c r="B174" s="180"/>
      <c r="C174" s="180"/>
      <c r="D174" s="180"/>
      <c r="E174" s="169"/>
      <c r="F174" s="169"/>
      <c r="G174" s="169"/>
      <c r="H174" s="169"/>
      <c r="I174" s="169"/>
      <c r="J174" s="180"/>
      <c r="K174" s="180"/>
      <c r="L174" s="187"/>
      <c r="M174" s="187">
        <f>IF($A$1&gt;1,ROUND($L174*$V$16,0),0)</f>
        <v>0</v>
      </c>
      <c r="N174" s="187">
        <f>IF($A$1&gt;2,ROUND($L174*$V$16^2,0),0)</f>
        <v>0</v>
      </c>
      <c r="O174" s="187">
        <f>IF($A$1&gt;3,ROUND($L174*$V$16^3,0),0)</f>
        <v>0</v>
      </c>
      <c r="P174" s="187">
        <f>IF($A$1&gt;4,ROUND($L174*$V$16^4,0),0)</f>
        <v>0</v>
      </c>
      <c r="Q174" s="186">
        <f>SUM(L174:P174)</f>
        <v>0</v>
      </c>
    </row>
    <row r="175" spans="1:21" x14ac:dyDescent="0.2">
      <c r="A175" s="169"/>
      <c r="B175" s="180"/>
      <c r="C175" s="180"/>
      <c r="D175" s="180"/>
      <c r="E175" s="169"/>
      <c r="F175" s="169"/>
      <c r="G175" s="169"/>
      <c r="H175" s="169"/>
      <c r="I175" s="169"/>
      <c r="J175" s="180"/>
      <c r="K175" s="180"/>
      <c r="L175" s="187"/>
      <c r="M175" s="187">
        <f>IF($A$1&gt;1,ROUND($L175*$V$16,0),0)</f>
        <v>0</v>
      </c>
      <c r="N175" s="187">
        <f>IF($A$1&gt;2,ROUND($L175*$V$16^2,0),0)</f>
        <v>0</v>
      </c>
      <c r="O175" s="187">
        <f>IF($A$1&gt;3,ROUND($L175*$V$16^3,0),0)</f>
        <v>0</v>
      </c>
      <c r="P175" s="187">
        <f>IF($A$1&gt;4,ROUND($L175*$V$16^4,0),0)</f>
        <v>0</v>
      </c>
      <c r="Q175" s="213">
        <f>SUM(L175:P175)</f>
        <v>0</v>
      </c>
    </row>
    <row r="176" spans="1:21" ht="13.5" collapsed="1" x14ac:dyDescent="0.25">
      <c r="A176" s="169"/>
      <c r="B176" s="169"/>
      <c r="C176" s="169"/>
      <c r="D176" s="169"/>
      <c r="E176" s="169"/>
      <c r="F176" s="169"/>
      <c r="G176" s="169"/>
      <c r="H176" s="171"/>
      <c r="I176" s="171"/>
      <c r="J176" s="226"/>
      <c r="K176" s="226" t="str">
        <f>CONCATENATE("Total ", $B$171)</f>
        <v>Total  [Other Direct - ADD Description if Applicable]</v>
      </c>
      <c r="L176" s="227">
        <f>SUM(L172:L175)</f>
        <v>0</v>
      </c>
      <c r="M176" s="227">
        <f>SUM(M172:M175)</f>
        <v>0</v>
      </c>
      <c r="N176" s="227">
        <f>SUM(N172:N175)</f>
        <v>0</v>
      </c>
      <c r="O176" s="227">
        <f>SUM(O172:O175)</f>
        <v>0</v>
      </c>
      <c r="P176" s="227">
        <f>SUM(P172:P175)</f>
        <v>0</v>
      </c>
      <c r="Q176" s="228">
        <f>SUM(L176:P176)</f>
        <v>0</v>
      </c>
    </row>
    <row r="177" spans="1:19" x14ac:dyDescent="0.2">
      <c r="A177" s="172" t="s">
        <v>272</v>
      </c>
      <c r="B177" s="225" t="s">
        <v>300</v>
      </c>
      <c r="C177" s="225"/>
      <c r="D177" s="225"/>
      <c r="E177" s="169"/>
      <c r="F177" s="169"/>
      <c r="G177" s="169"/>
      <c r="H177" s="169"/>
      <c r="I177" s="169"/>
      <c r="J177" s="180"/>
      <c r="K177" s="180"/>
      <c r="L177" s="187"/>
      <c r="M177" s="187"/>
      <c r="N177" s="187"/>
      <c r="O177" s="187"/>
      <c r="P177" s="187"/>
      <c r="Q177" s="186"/>
    </row>
    <row r="178" spans="1:19" x14ac:dyDescent="0.2">
      <c r="A178" s="169"/>
      <c r="B178" s="169"/>
      <c r="C178" s="169"/>
      <c r="D178" s="169"/>
      <c r="E178" s="169"/>
      <c r="F178" s="169"/>
      <c r="G178" s="169"/>
      <c r="H178" s="169"/>
      <c r="I178" s="169"/>
      <c r="J178" s="180"/>
      <c r="K178" s="180"/>
      <c r="L178" s="187"/>
      <c r="M178" s="187">
        <f>IF($A$1&gt;1,ROUND($L178*$V$16,0),0)</f>
        <v>0</v>
      </c>
      <c r="N178" s="187">
        <f>IF($A$1&gt;2,ROUND($L178*$V$16^2,0),0)</f>
        <v>0</v>
      </c>
      <c r="O178" s="187">
        <f>IF($A$1&gt;3,ROUND($L178*$V$16^3,0),0)</f>
        <v>0</v>
      </c>
      <c r="P178" s="187">
        <f>IF($A$1&gt;4,ROUND($L178*$V$16^4,0),0)</f>
        <v>0</v>
      </c>
      <c r="Q178" s="186">
        <f>SUM(L178:P178)</f>
        <v>0</v>
      </c>
      <c r="R178" s="86"/>
    </row>
    <row r="179" spans="1:19" x14ac:dyDescent="0.2">
      <c r="A179" s="169"/>
      <c r="B179" s="169"/>
      <c r="C179" s="169"/>
      <c r="D179" s="180"/>
      <c r="E179" s="169"/>
      <c r="F179" s="169"/>
      <c r="G179" s="169"/>
      <c r="H179" s="169"/>
      <c r="I179" s="169"/>
      <c r="J179" s="180"/>
      <c r="K179" s="180"/>
      <c r="L179" s="187"/>
      <c r="M179" s="187">
        <f>IF($A$1&gt;1,ROUND($L179*$V$16,0),0)</f>
        <v>0</v>
      </c>
      <c r="N179" s="187">
        <f>IF($A$1&gt;2,ROUND($L179*$V$16^2,0),0)</f>
        <v>0</v>
      </c>
      <c r="O179" s="187">
        <f>IF($A$1&gt;3,ROUND($L179*$V$16^3,0),0)</f>
        <v>0</v>
      </c>
      <c r="P179" s="187">
        <f>IF($A$1&gt;4,ROUND($L179*$V$16^4,0),0)</f>
        <v>0</v>
      </c>
      <c r="Q179" s="186">
        <f>SUM(L179:P179)</f>
        <v>0</v>
      </c>
      <c r="R179" s="86"/>
    </row>
    <row r="180" spans="1:19" x14ac:dyDescent="0.2">
      <c r="A180" s="169"/>
      <c r="B180" s="180"/>
      <c r="C180" s="180"/>
      <c r="D180" s="180"/>
      <c r="E180" s="169"/>
      <c r="F180" s="169"/>
      <c r="G180" s="169"/>
      <c r="H180" s="169"/>
      <c r="I180" s="169"/>
      <c r="J180" s="180"/>
      <c r="K180" s="180"/>
      <c r="L180" s="187"/>
      <c r="M180" s="187">
        <f>IF($A$1&gt;1,ROUND($L180*$V$16,0),0)</f>
        <v>0</v>
      </c>
      <c r="N180" s="187">
        <f>IF($A$1&gt;2,ROUND($L180*$V$16^2,0),0)</f>
        <v>0</v>
      </c>
      <c r="O180" s="187">
        <f>IF($A$1&gt;3,ROUND($L180*$V$16^3,0),0)</f>
        <v>0</v>
      </c>
      <c r="P180" s="187">
        <f>IF($A$1&gt;4,ROUND($L180*$V$16^4,0),0)</f>
        <v>0</v>
      </c>
      <c r="Q180" s="186">
        <f>SUM(L180:P180)</f>
        <v>0</v>
      </c>
    </row>
    <row r="181" spans="1:19" x14ac:dyDescent="0.2">
      <c r="A181" s="169"/>
      <c r="B181" s="180"/>
      <c r="C181" s="180"/>
      <c r="D181" s="180"/>
      <c r="E181" s="169"/>
      <c r="F181" s="169"/>
      <c r="G181" s="169"/>
      <c r="H181" s="169"/>
      <c r="I181" s="169"/>
      <c r="J181" s="180"/>
      <c r="K181" s="180"/>
      <c r="L181" s="212"/>
      <c r="M181" s="187">
        <f>IF($A$1&gt;1,ROUND($L181*$V$16,0),0)</f>
        <v>0</v>
      </c>
      <c r="N181" s="187">
        <f>IF($A$1&gt;2,ROUND($L181*$V$16^2,0),0)</f>
        <v>0</v>
      </c>
      <c r="O181" s="187">
        <f>IF($A$1&gt;3,ROUND($L181*$V$16^3,0),0)</f>
        <v>0</v>
      </c>
      <c r="P181" s="187">
        <f>IF($A$1&gt;4,ROUND($L181*$V$16^4,0),0)</f>
        <v>0</v>
      </c>
      <c r="Q181" s="186">
        <f>SUM(L181:P181)</f>
        <v>0</v>
      </c>
    </row>
    <row r="182" spans="1:19" ht="13.5" collapsed="1" x14ac:dyDescent="0.25">
      <c r="A182" s="169"/>
      <c r="B182" s="169"/>
      <c r="C182" s="169"/>
      <c r="D182" s="169"/>
      <c r="E182" s="169"/>
      <c r="F182" s="169"/>
      <c r="G182" s="169"/>
      <c r="H182" s="171"/>
      <c r="I182" s="171"/>
      <c r="J182" s="226"/>
      <c r="K182" s="226" t="str">
        <f>CONCATENATE("Total ", $B$177)</f>
        <v>Total  [Other Direct - ADD Description if Applicable]</v>
      </c>
      <c r="L182" s="227">
        <f>SUM(L178:L181)</f>
        <v>0</v>
      </c>
      <c r="M182" s="227">
        <f>SUM(M178:M181)</f>
        <v>0</v>
      </c>
      <c r="N182" s="227">
        <f>SUM(N178:N181)</f>
        <v>0</v>
      </c>
      <c r="O182" s="227">
        <f>SUM(O178:O181)</f>
        <v>0</v>
      </c>
      <c r="P182" s="227">
        <f>SUM(P178:P181)</f>
        <v>0</v>
      </c>
      <c r="Q182" s="228">
        <f>SUM(L182:P182)</f>
        <v>0</v>
      </c>
    </row>
    <row r="183" spans="1:19" x14ac:dyDescent="0.2">
      <c r="A183" s="169"/>
      <c r="B183" s="216"/>
      <c r="C183" s="216"/>
      <c r="D183" s="216"/>
      <c r="E183" s="216"/>
      <c r="F183" s="216"/>
      <c r="G183" s="216"/>
      <c r="H183" s="216"/>
      <c r="I183" s="216"/>
      <c r="J183" s="180"/>
      <c r="K183" s="180"/>
      <c r="L183" s="187"/>
      <c r="M183" s="218"/>
      <c r="N183" s="218"/>
      <c r="O183" s="218"/>
      <c r="P183" s="218"/>
      <c r="Q183" s="229"/>
    </row>
    <row r="184" spans="1:19" x14ac:dyDescent="0.2">
      <c r="A184" s="172" t="s">
        <v>273</v>
      </c>
      <c r="B184" s="188" t="s">
        <v>76</v>
      </c>
      <c r="C184" s="188"/>
      <c r="D184" s="188"/>
      <c r="E184" s="180"/>
      <c r="F184" s="180"/>
      <c r="G184" s="180"/>
      <c r="H184" s="180"/>
      <c r="I184" s="180"/>
      <c r="J184" s="180"/>
      <c r="K184" s="180"/>
      <c r="L184" s="218">
        <f>ROUND(SUM(L90,L96,L102,L109,L118,L124,L131,L137,L154,L158,L163,L169,L176,L182),0)</f>
        <v>0</v>
      </c>
      <c r="M184" s="218">
        <f>IF($A$1&gt;1,ROUND(SUM(M90,M96,M102,M109,M118,M124,M131,M137,M154,M158,M163,M169,M176,M182),0),0)</f>
        <v>0</v>
      </c>
      <c r="N184" s="218">
        <f>IF($A$1&gt;2,ROUND(SUM(N90,N96,N102,N109,N118,N124,N131,N137,N154,N158,N163,N169,N176,N182),0),0)</f>
        <v>0</v>
      </c>
      <c r="O184" s="218">
        <f>IF($A$1&gt;3,ROUND(SUM(O90,O96,O102,O109,O118,O124,O131,O137,O154,O158,O163,O169,O176,O182),0),0)</f>
        <v>0</v>
      </c>
      <c r="P184" s="218">
        <f>IF($A$1&gt;4,ROUND(SUM(P90,P96,P102,P109,P118,P124,P131,P137,P154,P158,P163,P169,P176,P182),0),0)</f>
        <v>0</v>
      </c>
      <c r="Q184" s="229">
        <f>SUM(L184:P184)</f>
        <v>0</v>
      </c>
    </row>
    <row r="185" spans="1:19" x14ac:dyDescent="0.2">
      <c r="A185" s="172"/>
      <c r="B185" s="169"/>
      <c r="C185" s="169"/>
      <c r="D185" s="169"/>
      <c r="E185" s="169"/>
      <c r="F185" s="169"/>
      <c r="G185" s="169"/>
      <c r="H185" s="169"/>
      <c r="I185" s="169"/>
      <c r="J185" s="169"/>
      <c r="K185" s="169"/>
      <c r="L185" s="169"/>
      <c r="M185" s="169"/>
      <c r="N185" s="169"/>
      <c r="O185" s="169"/>
      <c r="P185" s="169"/>
      <c r="Q185" s="175"/>
    </row>
    <row r="186" spans="1:19" x14ac:dyDescent="0.2">
      <c r="A186" s="172"/>
      <c r="B186" s="225" t="s">
        <v>88</v>
      </c>
      <c r="C186" s="225"/>
      <c r="D186" s="216"/>
      <c r="E186" s="180"/>
      <c r="F186" s="180"/>
      <c r="G186" s="180"/>
      <c r="H186" s="180"/>
      <c r="I186" s="180"/>
      <c r="J186" s="169"/>
      <c r="K186" s="169"/>
      <c r="L186" s="250">
        <f>ROUND((L184-L96-L109-L152-L169),0)</f>
        <v>0</v>
      </c>
      <c r="M186" s="250">
        <f>IF($A$1&gt;1,ROUND((M184-M96-M109-M152-M169),0),0)</f>
        <v>0</v>
      </c>
      <c r="N186" s="250">
        <f>IF($A$1&gt;2,ROUND((N184-N96-N109-N152-N169),0),0)</f>
        <v>0</v>
      </c>
      <c r="O186" s="250">
        <f>IF($A$1&gt;3,ROUND((O184-O96-O109-O152-O169),0),0)</f>
        <v>0</v>
      </c>
      <c r="P186" s="250">
        <f>IF($A$1&gt;4,ROUND((P184-P96-P109-P152-P169),0),0)</f>
        <v>0</v>
      </c>
      <c r="Q186" s="251">
        <f>SUM(L186:P186)</f>
        <v>0</v>
      </c>
      <c r="S186" s="1" t="s">
        <v>25</v>
      </c>
    </row>
    <row r="187" spans="1:19" x14ac:dyDescent="0.2">
      <c r="A187" s="172"/>
      <c r="B187" s="216"/>
      <c r="C187" s="216"/>
      <c r="D187" s="216"/>
      <c r="E187" s="179" t="s">
        <v>89</v>
      </c>
      <c r="F187" s="180"/>
      <c r="G187" s="180"/>
      <c r="H187" s="180"/>
      <c r="I187" s="180"/>
      <c r="J187" s="169"/>
      <c r="K187" s="169"/>
      <c r="L187" s="250"/>
      <c r="M187" s="250"/>
      <c r="N187" s="250"/>
      <c r="O187" s="250"/>
      <c r="P187" s="250"/>
      <c r="Q187" s="251"/>
    </row>
    <row r="188" spans="1:19" x14ac:dyDescent="0.2">
      <c r="A188" s="172"/>
      <c r="B188" s="252" t="s">
        <v>147</v>
      </c>
      <c r="C188" s="252"/>
      <c r="D188" s="253"/>
      <c r="E188" s="529" t="s">
        <v>401</v>
      </c>
      <c r="F188" s="529"/>
      <c r="G188" s="529"/>
      <c r="H188" s="254"/>
      <c r="I188" s="254"/>
      <c r="J188" s="255"/>
      <c r="K188" s="255"/>
      <c r="L188" s="272">
        <f>IF(E188=AH6,0,IF(L190&gt;0,0,VLOOKUP(L6,'F&amp;A History'!$C:$K,VLOOKUP(E188,$AH$6:$AI$13,2,FALSE),TRUE)/100))</f>
        <v>0.08</v>
      </c>
      <c r="M188" s="272">
        <f>IF($A$1&gt;1,IF(E188=AH6,0,IF(L190&gt;0,0,VLOOKUP(M6,'F&amp;A History'!$C:$K,VLOOKUP(E188,$AH$6:$AI$13,2,FALSE),TRUE)/100)),"")</f>
        <v>0.08</v>
      </c>
      <c r="N188" s="272">
        <f>IF($A$1&gt;2,IF(E188=AH6,0,IF(L190&gt;0,0,VLOOKUP(N6,'F&amp;A History'!$C:$K,VLOOKUP(E188,$AH$6:$AI$13,2,FALSE),TRUE)/100)),"")</f>
        <v>0.08</v>
      </c>
      <c r="O188" s="272">
        <f>IF($A$1&gt;3,IF(E188=AH6,0,IF(L190&gt;0,0,VLOOKUP(O6,'F&amp;A History'!$C:$K,VLOOKUP(E188,$AH$6:$AI$13,2,FALSE),TRUE)/100)),"")</f>
        <v>0.08</v>
      </c>
      <c r="P188" s="272">
        <f>IF($A$1&gt;4,IF(E188=AH6,0,IF(L190&gt;0,0,VLOOKUP(P6,'F&amp;A History'!$C:$K,VLOOKUP(E188,$AH$6:$AI$13,2,FALSE),TRUE)/100)),"")</f>
        <v>0.08</v>
      </c>
      <c r="Q188" s="256"/>
    </row>
    <row r="189" spans="1:19" x14ac:dyDescent="0.2">
      <c r="A189" s="172"/>
      <c r="B189" s="180"/>
      <c r="C189" s="180"/>
      <c r="D189" s="180"/>
      <c r="E189" s="180"/>
      <c r="F189" s="180"/>
      <c r="G189" s="180"/>
      <c r="H189" s="180"/>
      <c r="I189" s="180"/>
      <c r="J189" s="169"/>
      <c r="K189" s="169"/>
      <c r="L189" s="257"/>
      <c r="M189" s="258"/>
      <c r="N189" s="258"/>
      <c r="O189" s="258"/>
      <c r="P189" s="258"/>
      <c r="Q189" s="259"/>
    </row>
    <row r="190" spans="1:19" x14ac:dyDescent="0.2">
      <c r="A190" s="172"/>
      <c r="B190" s="340" t="s">
        <v>149</v>
      </c>
      <c r="C190" s="340"/>
      <c r="D190" s="260"/>
      <c r="E190" s="261"/>
      <c r="F190" s="261"/>
      <c r="G190" s="261"/>
      <c r="H190" s="261"/>
      <c r="I190" s="261"/>
      <c r="J190" s="262"/>
      <c r="K190" s="262"/>
      <c r="L190" s="263"/>
      <c r="M190" s="263"/>
      <c r="N190" s="263"/>
      <c r="O190" s="263"/>
      <c r="P190" s="263"/>
      <c r="Q190" s="264"/>
    </row>
    <row r="191" spans="1:19" x14ac:dyDescent="0.2">
      <c r="A191" s="172"/>
      <c r="B191" s="225"/>
      <c r="C191" s="225"/>
      <c r="D191" s="216"/>
      <c r="E191" s="180"/>
      <c r="F191" s="180"/>
      <c r="G191" s="180"/>
      <c r="H191" s="180"/>
      <c r="I191" s="180"/>
      <c r="J191" s="28"/>
      <c r="K191" s="28"/>
      <c r="L191" s="250"/>
      <c r="M191" s="250"/>
      <c r="N191" s="250"/>
      <c r="O191" s="250"/>
      <c r="P191" s="250"/>
      <c r="Q191" s="251"/>
    </row>
    <row r="192" spans="1:19" x14ac:dyDescent="0.2">
      <c r="A192" s="172" t="s">
        <v>276</v>
      </c>
      <c r="B192" s="225" t="s">
        <v>148</v>
      </c>
      <c r="C192" s="225"/>
      <c r="D192" s="216"/>
      <c r="E192" s="180"/>
      <c r="F192" s="180"/>
      <c r="G192" s="180"/>
      <c r="H192" s="180"/>
      <c r="I192" s="180"/>
      <c r="J192" s="28"/>
      <c r="K192" s="28"/>
      <c r="L192" s="265">
        <f>ROUND(IF(ISBLANK(L190),L186*L188,L190*L184),0)</f>
        <v>0</v>
      </c>
      <c r="M192" s="265">
        <f>IF($A$1&gt;1,ROUND(IF(ISBLANK(M190),M186*M188,M190*M184),0),0)</f>
        <v>0</v>
      </c>
      <c r="N192" s="265">
        <f>IF($A$1&gt;2,ROUND(IF(ISBLANK(N190),N186*N188,N190*N184),0),0)</f>
        <v>0</v>
      </c>
      <c r="O192" s="265">
        <f>IF($A$1&gt;3,ROUND(IF(ISBLANK(O190),O186*O188,O190*O184),0),0)</f>
        <v>0</v>
      </c>
      <c r="P192" s="265">
        <f>IF($A$1&gt;4,ROUND(IF(ISBLANK(P190),P186*P188,P190*P184),0),0)</f>
        <v>0</v>
      </c>
      <c r="Q192" s="266">
        <f>SUM(L192:P192)</f>
        <v>0</v>
      </c>
    </row>
    <row r="193" spans="1:18" x14ac:dyDescent="0.2">
      <c r="A193" s="172"/>
      <c r="B193" s="225"/>
      <c r="C193" s="225"/>
      <c r="D193" s="216"/>
      <c r="E193" s="180"/>
      <c r="F193" s="180"/>
      <c r="G193" s="180"/>
      <c r="H193" s="180"/>
      <c r="I193" s="180"/>
      <c r="J193" s="28"/>
      <c r="K193" s="28"/>
      <c r="L193" s="250"/>
      <c r="M193" s="250"/>
      <c r="N193" s="250"/>
      <c r="O193" s="250"/>
      <c r="P193" s="250"/>
      <c r="Q193" s="251"/>
    </row>
    <row r="194" spans="1:18" ht="13.5" thickBot="1" x14ac:dyDescent="0.25">
      <c r="A194" s="172" t="s">
        <v>278</v>
      </c>
      <c r="B194" s="188" t="s">
        <v>90</v>
      </c>
      <c r="C194" s="188"/>
      <c r="D194" s="188"/>
      <c r="E194" s="188"/>
      <c r="F194" s="188"/>
      <c r="G194" s="188"/>
      <c r="H194" s="188"/>
      <c r="I194" s="188"/>
      <c r="J194" s="169"/>
      <c r="K194" s="169"/>
      <c r="L194" s="267">
        <f>IF(NOT(ISBLANK(L190)),L184+L192,IF($E$188=$AH$6,"F&amp;A?",SUM(L184+L192)))</f>
        <v>0</v>
      </c>
      <c r="M194" s="267">
        <f>IF(NOT(ISBLANK(M190)),M184+M192,IF($E$188=$AH$6,"F&amp;A?",SUM(M184+M192)))</f>
        <v>0</v>
      </c>
      <c r="N194" s="267">
        <f>IF(NOT(ISBLANK(N190)),N184+N192,IF($E$188=$AH$6,"F&amp;A?",SUM(N184+N192)))</f>
        <v>0</v>
      </c>
      <c r="O194" s="267">
        <f>IF(NOT(ISBLANK(O190)),O184+O192,IF($E$188=$AH$6,"F&amp;A?",SUM(O184+O192)))</f>
        <v>0</v>
      </c>
      <c r="P194" s="267">
        <f>IF(NOT(ISBLANK(P190)),P184+P192,IF($E$188=$AH$6,"F&amp;A?",SUM(P184+P192)))</f>
        <v>0</v>
      </c>
      <c r="Q194" s="268">
        <f>SUM(L194:P194)</f>
        <v>0</v>
      </c>
    </row>
    <row r="195" spans="1:18" ht="13.5" thickTop="1" x14ac:dyDescent="0.2">
      <c r="A195" s="169"/>
      <c r="B195" s="230"/>
      <c r="C195" s="230"/>
      <c r="D195" s="216"/>
      <c r="E195" s="269"/>
      <c r="F195" s="269"/>
      <c r="G195" s="269"/>
      <c r="H195" s="269"/>
      <c r="I195" s="269"/>
      <c r="J195" s="269"/>
      <c r="K195" s="269"/>
      <c r="L195" s="270"/>
      <c r="M195" s="270"/>
      <c r="N195" s="270"/>
      <c r="O195" s="270"/>
      <c r="P195" s="270"/>
      <c r="Q195" s="271"/>
    </row>
    <row r="196" spans="1:18" x14ac:dyDescent="0.2">
      <c r="B196" s="7"/>
      <c r="C196" s="7"/>
      <c r="D196" s="7"/>
      <c r="E196" s="146"/>
      <c r="F196" s="146"/>
      <c r="G196" s="146"/>
      <c r="H196" s="146"/>
      <c r="I196" s="146"/>
      <c r="J196" s="146"/>
      <c r="K196" s="146"/>
      <c r="L196" s="146"/>
      <c r="M196" s="146"/>
      <c r="N196" s="146"/>
      <c r="O196" s="146"/>
      <c r="P196" s="146"/>
      <c r="Q196" s="286"/>
    </row>
    <row r="197" spans="1:18" x14ac:dyDescent="0.2">
      <c r="B197" s="91"/>
      <c r="C197" s="91"/>
      <c r="D197" s="91"/>
      <c r="E197" s="147"/>
      <c r="F197" s="147"/>
      <c r="G197" s="147"/>
      <c r="H197" s="147"/>
      <c r="I197" s="148"/>
      <c r="J197" s="149"/>
      <c r="K197" s="149"/>
      <c r="L197" s="150"/>
      <c r="M197" s="151"/>
      <c r="N197" s="151"/>
      <c r="O197" s="151"/>
      <c r="P197" s="151"/>
      <c r="Q197" s="286"/>
      <c r="R197" s="287"/>
    </row>
    <row r="198" spans="1:18" x14ac:dyDescent="0.2">
      <c r="B198" s="281" t="s">
        <v>79</v>
      </c>
      <c r="C198" s="143"/>
      <c r="D198" s="278">
        <f>V15-1</f>
        <v>3.0000000000000027E-2</v>
      </c>
      <c r="E198" s="143"/>
      <c r="F198" s="143"/>
      <c r="G198" s="143"/>
      <c r="H198" s="143"/>
      <c r="I198" s="143"/>
      <c r="J198" s="143"/>
      <c r="K198" s="143"/>
      <c r="L198" s="144"/>
      <c r="M198" s="9"/>
      <c r="N198" s="9"/>
      <c r="O198" s="9"/>
      <c r="P198" s="92"/>
      <c r="Q198" s="286"/>
    </row>
    <row r="199" spans="1:18" x14ac:dyDescent="0.2">
      <c r="B199" s="2" t="s">
        <v>174</v>
      </c>
      <c r="D199" s="277">
        <f>V14-1</f>
        <v>4.0000000000000036E-2</v>
      </c>
      <c r="E199" s="91"/>
      <c r="F199" s="91"/>
      <c r="G199" s="91"/>
      <c r="H199" s="91"/>
      <c r="I199" s="91"/>
      <c r="J199" s="91"/>
      <c r="K199" s="91"/>
      <c r="L199" s="135"/>
      <c r="M199" s="9"/>
      <c r="N199" s="9"/>
      <c r="O199" s="9"/>
      <c r="P199" s="92"/>
    </row>
    <row r="200" spans="1:18" x14ac:dyDescent="0.2">
      <c r="B200" s="136" t="s">
        <v>136</v>
      </c>
      <c r="C200" s="343"/>
      <c r="D200" s="277">
        <f>V16-1</f>
        <v>3.6999999999999922E-2</v>
      </c>
      <c r="E200" s="91"/>
      <c r="F200" s="91"/>
      <c r="G200" s="91"/>
      <c r="H200" s="91"/>
      <c r="I200" s="91"/>
      <c r="J200" s="91"/>
      <c r="K200" s="91"/>
      <c r="L200" s="135"/>
      <c r="R200" s="18" t="s">
        <v>25</v>
      </c>
    </row>
    <row r="201" spans="1:18" ht="13.5" x14ac:dyDescent="0.25">
      <c r="B201" s="140" t="s">
        <v>184</v>
      </c>
      <c r="C201" s="344"/>
      <c r="D201" s="278"/>
      <c r="E201" s="143"/>
      <c r="F201" s="143"/>
      <c r="G201" s="143"/>
      <c r="H201" s="143"/>
      <c r="I201" s="143"/>
      <c r="J201" s="143"/>
      <c r="K201" s="143"/>
      <c r="L201" s="144"/>
    </row>
    <row r="202" spans="1:18" x14ac:dyDescent="0.2">
      <c r="B202" s="2" t="s">
        <v>85</v>
      </c>
      <c r="D202" s="277">
        <f>IF($S$9="Y",AG11-1,0)</f>
        <v>2.6999999999999913E-2</v>
      </c>
      <c r="L202" s="134"/>
    </row>
    <row r="203" spans="1:18" x14ac:dyDescent="0.2">
      <c r="B203" s="2" t="s">
        <v>84</v>
      </c>
      <c r="D203" s="277">
        <f>IF($S$9="Y",AG12-1,0)</f>
        <v>2.6999999999999913E-2</v>
      </c>
      <c r="L203" s="134"/>
    </row>
    <row r="204" spans="1:18" x14ac:dyDescent="0.2">
      <c r="B204" s="137" t="s">
        <v>137</v>
      </c>
      <c r="C204" s="138"/>
      <c r="D204" s="279">
        <f>IF($S$9="Y",AG13-1,0)</f>
        <v>2.6999999999999913E-2</v>
      </c>
      <c r="E204" s="138"/>
      <c r="F204" s="138"/>
      <c r="G204" s="138"/>
      <c r="H204" s="138"/>
      <c r="I204" s="138"/>
      <c r="J204" s="138"/>
      <c r="K204" s="138"/>
      <c r="L204" s="139"/>
      <c r="P204" s="1" t="s">
        <v>25</v>
      </c>
    </row>
    <row r="205" spans="1:18" ht="13.5" x14ac:dyDescent="0.25">
      <c r="B205" s="288" t="s">
        <v>181</v>
      </c>
      <c r="C205" s="345"/>
      <c r="D205" s="277">
        <f>IF($S$9="Y",AG7-1,0)</f>
        <v>2.9400000000000093E-2</v>
      </c>
      <c r="L205" s="134"/>
    </row>
    <row r="206" spans="1:18" ht="13.5" x14ac:dyDescent="0.25">
      <c r="B206" s="288" t="s">
        <v>182</v>
      </c>
      <c r="C206" s="345"/>
      <c r="D206" s="277">
        <f>IF($S$9="Y",AG8-1,0)</f>
        <v>2.9800000000000049E-2</v>
      </c>
      <c r="L206" s="134"/>
    </row>
    <row r="207" spans="1:18" ht="13.5" x14ac:dyDescent="0.25">
      <c r="B207" s="288" t="s">
        <v>183</v>
      </c>
      <c r="C207" s="345"/>
      <c r="D207" s="277">
        <f>IF($S$9="Y",AG9-1,0)</f>
        <v>5.2000000000000046E-2</v>
      </c>
      <c r="L207" s="134"/>
    </row>
    <row r="208" spans="1:18" x14ac:dyDescent="0.2">
      <c r="B208" s="141" t="s">
        <v>120</v>
      </c>
      <c r="C208" s="142"/>
      <c r="D208" s="142"/>
      <c r="E208" s="143"/>
      <c r="F208" s="143"/>
      <c r="G208" s="143"/>
      <c r="H208" s="143"/>
      <c r="I208" s="143"/>
      <c r="J208" s="143"/>
      <c r="K208" s="143"/>
      <c r="L208" s="144"/>
    </row>
    <row r="209" spans="2:14" x14ac:dyDescent="0.2">
      <c r="B209" s="2" t="s">
        <v>121</v>
      </c>
      <c r="L209" s="134"/>
    </row>
    <row r="210" spans="2:14" x14ac:dyDescent="0.2">
      <c r="B210" s="2" t="s">
        <v>122</v>
      </c>
      <c r="L210" s="134"/>
    </row>
    <row r="211" spans="2:14" x14ac:dyDescent="0.2">
      <c r="B211" s="2" t="s">
        <v>123</v>
      </c>
      <c r="L211" s="134"/>
    </row>
    <row r="212" spans="2:14" x14ac:dyDescent="0.2">
      <c r="B212" s="2" t="s">
        <v>124</v>
      </c>
      <c r="L212" s="134"/>
    </row>
    <row r="213" spans="2:14" x14ac:dyDescent="0.2">
      <c r="B213" s="2" t="s">
        <v>125</v>
      </c>
      <c r="L213" s="134"/>
    </row>
    <row r="214" spans="2:14" x14ac:dyDescent="0.2">
      <c r="B214" s="2" t="s">
        <v>126</v>
      </c>
      <c r="L214" s="134"/>
    </row>
    <row r="215" spans="2:14" x14ac:dyDescent="0.2">
      <c r="B215" s="137"/>
      <c r="C215" s="138"/>
      <c r="D215" s="138"/>
      <c r="E215" s="138"/>
      <c r="F215" s="138"/>
      <c r="G215" s="138"/>
      <c r="H215" s="138"/>
      <c r="I215" s="138"/>
      <c r="J215" s="138"/>
      <c r="K215" s="138"/>
      <c r="L215" s="139"/>
    </row>
    <row r="217" spans="2:14" x14ac:dyDescent="0.2">
      <c r="N217" s="1" t="s">
        <v>25</v>
      </c>
    </row>
  </sheetData>
  <mergeCells count="1">
    <mergeCell ref="E188:G188"/>
  </mergeCells>
  <phoneticPr fontId="39" type="noConversion"/>
  <conditionalFormatting sqref="D3">
    <cfRule type="cellIs" dxfId="4" priority="6" stopIfTrue="1" operator="greaterThan">
      <formula>""""""</formula>
    </cfRule>
  </conditionalFormatting>
  <conditionalFormatting sqref="D13:D27">
    <cfRule type="expression" dxfId="3" priority="2" stopIfTrue="1">
      <formula>$B13=""</formula>
    </cfRule>
  </conditionalFormatting>
  <conditionalFormatting sqref="D57:D71">
    <cfRule type="expression" dxfId="2" priority="1" stopIfTrue="1">
      <formula>$B57=""</formula>
    </cfRule>
  </conditionalFormatting>
  <conditionalFormatting sqref="E188">
    <cfRule type="expression" dxfId="1" priority="7" stopIfTrue="1">
      <formula>NOT(ISNONTEXT($D$178))</formula>
    </cfRule>
    <cfRule type="expression" dxfId="0" priority="8" stopIfTrue="1">
      <formula>ISNONTEXT($D$178)</formula>
    </cfRule>
  </conditionalFormatting>
  <dataValidations count="4">
    <dataValidation type="list" allowBlank="1" showInputMessage="1" showErrorMessage="1" sqref="E188:G188" xr:uid="{F2CFA8AC-D6FF-405C-B6E2-6D040C287114}">
      <formula1>$AH$6:$AH$13</formula1>
    </dataValidation>
    <dataValidation type="list" showInputMessage="1" showErrorMessage="1" sqref="B52:C52 B45:C45" xr:uid="{DDB3C45A-8B46-4E05-BECD-77D8CE7C3212}">
      <formula1>"GTF I or II,GTF III"</formula1>
    </dataValidation>
    <dataValidation type="list" allowBlank="1" showInputMessage="1" showErrorMessage="1" sqref="C13:C27" xr:uid="{6378E8E5-5448-4866-94C2-36E4C4990A87}">
      <formula1>$AN$11:$AN$13</formula1>
    </dataValidation>
    <dataValidation type="list" allowBlank="1" showInputMessage="1" showErrorMessage="1" sqref="D13:D27" xr:uid="{4F4E6F6B-7FBC-4C6D-A468-704EFD5D82E4}">
      <formula1>$AK$6:$AK$15</formula1>
    </dataValidation>
  </dataValidations>
  <printOptions horizontalCentered="1" gridLines="1" gridLinesSet="0"/>
  <pageMargins left="0.5" right="0.5" top="1" bottom="1" header="0.5" footer="0.5"/>
  <pageSetup scale="49" fitToHeight="4" orientation="portrait" horizontalDpi="4294967292" r:id="rId1"/>
  <headerFooter alignWithMargins="0">
    <oddFooter>Page &amp;p</oddFooter>
  </headerFooter>
  <rowBreaks count="1" manualBreakCount="1">
    <brk id="94" max="14" man="1"/>
  </rowBreaks>
  <ignoredErrors>
    <ignoredError sqref="N13:Q13 Q94:Q95 M6:P7 Q150 L153:Q153 L167:Q167 Q183 L90:Q90 L102:Q102 Q98 Q14 L14:P19 L30:Q36 M38:Q38 L43:Q43 L49:Q50 Q85 J81 Q82:Q83 L53:Q53 L170:Q170 M168:Q168 L57:Q67 L81:P84 L76:Q80 L192:Q194 Q16:Q23 Q139:Q140 Q142:Q144 Q146:Q148 M154:Q154 M151:Q152 L96:Q97 L86:Q87 L187:Q187 Q186 Q185 Q184 Q37 M85:N85 L75:Q75 L21:P22 L20:M20 O20:P20 M42:Q42 Q99 Q100 Q101 M114:P117 M120:P123 M118 N118:Q118 L124:Q124 L131:Q131 L137:Q137 Q127:Q128 Q126 M98:P101 L109:Q109 L111:Q111 L141:Q141 L145:Q145 M156:Q158 L149:Q149 L151:L152 M161:Q163 L163 Q169 L169:P169 M179:Q180 M182:P182 L185:P185 L183:P183 L182 L184:P184 L186:P186 M173:M174 O173 L176:Q176 N174:P174 Q172:Q173 K176:K182 N130:Q130 Q129 M130 M127:P129 M126:P126 Q120:Q123 Q114:Q117 B57:B71 Q175 B76:B80 P85 L166:O166 Q166 Q178" unlockedFormula="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46DDC-6E17-45F1-A6FF-F820FDADC9E2}">
  <sheetPr>
    <tabColor theme="4"/>
  </sheetPr>
  <dimension ref="A1:AO48"/>
  <sheetViews>
    <sheetView topLeftCell="A4" workbookViewId="0">
      <selection activeCell="K11" sqref="K11"/>
    </sheetView>
  </sheetViews>
  <sheetFormatPr defaultColWidth="8.7109375" defaultRowHeight="15.75" outlineLevelRow="1" x14ac:dyDescent="0.25"/>
  <cols>
    <col min="1" max="1" width="7" style="350" customWidth="1"/>
    <col min="2" max="2" width="45.85546875" style="350" customWidth="1"/>
    <col min="3" max="3" width="13.28515625" style="352" customWidth="1"/>
    <col min="4" max="4" width="11.42578125" style="352" customWidth="1"/>
    <col min="5" max="5" width="12.5703125" style="352" customWidth="1"/>
    <col min="6" max="7" width="11.5703125" style="352" customWidth="1"/>
    <col min="8" max="8" width="15.28515625" style="352" customWidth="1"/>
    <col min="9" max="10" width="8.7109375" style="352"/>
    <col min="11" max="11" width="25.7109375" style="420" customWidth="1"/>
    <col min="12" max="12" width="8.85546875" style="427" bestFit="1" customWidth="1"/>
    <col min="13" max="13" width="9.42578125" style="427" bestFit="1" customWidth="1"/>
    <col min="14" max="14" width="8.85546875" style="427" bestFit="1" customWidth="1"/>
    <col min="15" max="15" width="9.42578125" style="427" bestFit="1" customWidth="1"/>
    <col min="16" max="16" width="1.140625" style="427" customWidth="1"/>
    <col min="17" max="17" width="8.85546875" style="427" bestFit="1" customWidth="1"/>
    <col min="18" max="18" width="9.42578125" style="427" bestFit="1" customWidth="1"/>
    <col min="19" max="20" width="10.42578125" style="427" bestFit="1" customWidth="1"/>
    <col min="21" max="21" width="1.140625" style="427" customWidth="1"/>
    <col min="22" max="23" width="10.42578125" style="427" bestFit="1" customWidth="1"/>
    <col min="24" max="24" width="8.85546875" style="427" bestFit="1" customWidth="1"/>
    <col min="25" max="25" width="10.140625" style="427" bestFit="1" customWidth="1"/>
    <col min="26" max="26" width="1.140625" style="427" customWidth="1"/>
    <col min="27" max="27" width="8.85546875" style="427" bestFit="1" customWidth="1"/>
    <col min="28" max="28" width="9.42578125" style="427" bestFit="1" customWidth="1"/>
    <col min="29" max="29" width="8.85546875" style="427" bestFit="1" customWidth="1"/>
    <col min="30" max="30" width="9.42578125" style="427" bestFit="1" customWidth="1"/>
    <col min="31" max="31" width="1.140625" style="427" customWidth="1"/>
    <col min="32" max="32" width="8.85546875" style="427" bestFit="1" customWidth="1"/>
    <col min="33" max="33" width="9.42578125" style="427" bestFit="1" customWidth="1"/>
    <col min="34" max="34" width="8.85546875" style="427" bestFit="1" customWidth="1"/>
    <col min="35" max="35" width="12.140625" style="427" bestFit="1" customWidth="1"/>
    <col min="36" max="36" width="0.7109375" style="352" customWidth="1"/>
    <col min="37" max="41" width="10.42578125" style="352" bestFit="1" customWidth="1"/>
    <col min="42" max="16384" width="8.7109375" style="352"/>
  </cols>
  <sheetData>
    <row r="1" spans="1:41" x14ac:dyDescent="0.25">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row>
    <row r="2" spans="1:41" ht="19.149999999999999" customHeight="1" x14ac:dyDescent="0.25">
      <c r="B2" s="351" t="s">
        <v>333</v>
      </c>
      <c r="C2" s="350"/>
      <c r="D2" s="350"/>
      <c r="E2" s="350"/>
      <c r="F2" s="350"/>
      <c r="G2" s="350"/>
      <c r="K2" s="352"/>
      <c r="L2" s="352"/>
      <c r="M2" s="352"/>
      <c r="N2" s="352"/>
      <c r="O2" s="352"/>
      <c r="P2" s="352"/>
      <c r="Q2" s="352"/>
      <c r="R2" s="352"/>
      <c r="S2" s="352"/>
      <c r="T2" s="352"/>
      <c r="U2" s="352"/>
      <c r="V2" s="352"/>
      <c r="W2" s="352"/>
      <c r="X2" s="352"/>
      <c r="Y2" s="352"/>
      <c r="Z2" s="352"/>
      <c r="AA2" s="352"/>
      <c r="AB2" s="352"/>
      <c r="AC2" s="352"/>
      <c r="AD2" s="352"/>
      <c r="AE2" s="352"/>
      <c r="AF2" s="352"/>
      <c r="AG2" s="352"/>
      <c r="AH2" s="352"/>
      <c r="AI2" s="352"/>
    </row>
    <row r="3" spans="1:41" x14ac:dyDescent="0.25">
      <c r="B3" s="351" t="s">
        <v>243</v>
      </c>
      <c r="C3" s="533">
        <f>'R&amp;R Generic Detailed Budget'!D3</f>
        <v>0</v>
      </c>
      <c r="D3" s="533"/>
      <c r="E3" s="533"/>
      <c r="F3" s="533"/>
      <c r="G3" s="533"/>
      <c r="K3" s="352"/>
      <c r="L3" s="352"/>
      <c r="M3" s="352"/>
      <c r="N3" s="352"/>
      <c r="O3" s="352"/>
      <c r="P3" s="352"/>
      <c r="Q3" s="352"/>
      <c r="R3" s="352"/>
      <c r="S3" s="352"/>
      <c r="T3" s="352"/>
      <c r="U3" s="352"/>
      <c r="V3" s="352"/>
      <c r="W3" s="352"/>
      <c r="X3" s="352"/>
      <c r="Y3" s="352"/>
      <c r="Z3" s="352"/>
      <c r="AA3" s="352"/>
      <c r="AB3" s="352"/>
      <c r="AC3" s="352"/>
      <c r="AD3" s="352"/>
      <c r="AE3" s="352"/>
      <c r="AF3" s="352"/>
      <c r="AG3" s="352"/>
      <c r="AH3" s="352"/>
      <c r="AI3" s="352"/>
    </row>
    <row r="4" spans="1:41" ht="16.5" x14ac:dyDescent="0.25">
      <c r="B4" s="353" t="s">
        <v>304</v>
      </c>
      <c r="C4" s="533" t="str">
        <f>CONCATENATE(TEXT('R&amp;R Generic Detailed Budget'!L6,"mm/dd/yyyy")," -  ",TEXT('R&amp;R Generic Detailed Budget'!$P$7,"mm/dd/yyyy"))</f>
        <v>07/01/2026 -  06/30/2031</v>
      </c>
      <c r="D4" s="533"/>
      <c r="E4" s="533"/>
      <c r="F4" s="533"/>
      <c r="G4" s="533"/>
      <c r="K4" s="352"/>
      <c r="L4" s="352"/>
      <c r="M4" s="352"/>
      <c r="N4" s="352"/>
      <c r="O4" s="352"/>
      <c r="P4" s="352"/>
      <c r="Q4" s="352"/>
      <c r="R4" s="352"/>
      <c r="S4" s="352"/>
      <c r="T4" s="352"/>
      <c r="U4" s="352"/>
      <c r="V4" s="352"/>
      <c r="W4" s="352"/>
      <c r="X4" s="352"/>
      <c r="Y4" s="352"/>
      <c r="Z4" s="352"/>
      <c r="AA4" s="352"/>
      <c r="AB4" s="352"/>
      <c r="AC4" s="352"/>
      <c r="AD4" s="352"/>
      <c r="AE4" s="352"/>
      <c r="AF4" s="352"/>
      <c r="AG4" s="352"/>
      <c r="AH4" s="352"/>
      <c r="AI4" s="352"/>
    </row>
    <row r="5" spans="1:41" x14ac:dyDescent="0.25">
      <c r="K5" s="352"/>
      <c r="L5" s="352"/>
      <c r="M5" s="352"/>
      <c r="N5" s="352"/>
      <c r="O5" s="352"/>
      <c r="P5" s="352"/>
      <c r="Q5" s="352"/>
      <c r="R5" s="352"/>
      <c r="S5" s="352"/>
      <c r="T5" s="352"/>
      <c r="U5" s="352"/>
      <c r="V5" s="352"/>
      <c r="W5" s="352"/>
      <c r="X5" s="352"/>
      <c r="Y5" s="352"/>
      <c r="Z5" s="352"/>
      <c r="AA5" s="352"/>
      <c r="AB5" s="352"/>
      <c r="AC5" s="352"/>
      <c r="AD5" s="352"/>
      <c r="AE5" s="352"/>
      <c r="AF5" s="352"/>
      <c r="AG5" s="352"/>
      <c r="AH5" s="352"/>
      <c r="AI5" s="352"/>
    </row>
    <row r="6" spans="1:41" x14ac:dyDescent="0.25">
      <c r="A6" s="534" t="s">
        <v>244</v>
      </c>
      <c r="B6" s="536" t="s">
        <v>245</v>
      </c>
      <c r="C6" s="363" t="s">
        <v>1</v>
      </c>
      <c r="D6" s="364" t="s">
        <v>2</v>
      </c>
      <c r="E6" s="364" t="s">
        <v>3</v>
      </c>
      <c r="F6" s="364" t="s">
        <v>29</v>
      </c>
      <c r="G6" s="364" t="s">
        <v>30</v>
      </c>
      <c r="H6" s="536" t="s">
        <v>4</v>
      </c>
      <c r="K6" s="460" t="s">
        <v>380</v>
      </c>
    </row>
    <row r="7" spans="1:41" ht="51.6" customHeight="1" x14ac:dyDescent="0.25">
      <c r="A7" s="535"/>
      <c r="B7" s="537"/>
      <c r="C7" s="365" t="str">
        <f>CONCATENATE(TEXT('R&amp;R Generic Detailed Budget'!$L$6,"mm/dd/yyyy")," -  ",TEXT('R&amp;R Generic Detailed Budget'!$L$7,"mm/dd/yyyy"))</f>
        <v>07/01/2026 -  06/30/2027</v>
      </c>
      <c r="D7" s="365" t="str">
        <f>CONCATENATE(TEXT('R&amp;R Generic Detailed Budget'!$M$6,"mm/dd/yyyy")," -  ",TEXT('R&amp;R Generic Detailed Budget'!$M$7,"mm/dd/yyyy"))</f>
        <v>07/01/2027 -  06/30/2028</v>
      </c>
      <c r="E7" s="365" t="str">
        <f>CONCATENATE(TEXT('R&amp;R Generic Detailed Budget'!$N$6,"mm/dd/yyyy")," -  ",TEXT('R&amp;R Generic Detailed Budget'!$N$7,"mm/dd/yyyy"))</f>
        <v>07/01/2028 -  06/30/2029</v>
      </c>
      <c r="F7" s="365" t="str">
        <f>CONCATENATE(TEXT('R&amp;R Generic Detailed Budget'!$O$6,"mm/dd/yyyy")," -  ",TEXT('R&amp;R Generic Detailed Budget'!$O$7,"mm/dd/yyyy"))</f>
        <v>07/01/2029 -  06/30/2030</v>
      </c>
      <c r="G7" s="365" t="str">
        <f>CONCATENATE(TEXT('R&amp;R Generic Detailed Budget'!$P$6,"mm/dd/yyyy")," -  ",TEXT('R&amp;R Generic Detailed Budget'!$P$7,"mm/dd/yyyy"))</f>
        <v>07/01/2030 -  06/30/2031</v>
      </c>
      <c r="H7" s="537"/>
      <c r="J7" s="434"/>
      <c r="K7" s="530" t="s">
        <v>381</v>
      </c>
      <c r="L7" s="531"/>
      <c r="M7" s="531"/>
      <c r="N7" s="531"/>
      <c r="O7" s="532"/>
      <c r="P7" s="456"/>
      <c r="Q7" s="456"/>
      <c r="R7" s="456"/>
      <c r="S7" s="456"/>
      <c r="T7" s="456"/>
      <c r="U7" s="455"/>
      <c r="V7" s="455"/>
      <c r="W7" s="455"/>
      <c r="X7" s="455"/>
      <c r="Y7" s="455"/>
      <c r="Z7" s="455"/>
      <c r="AA7" s="455"/>
      <c r="AB7" s="455"/>
      <c r="AC7" s="455"/>
      <c r="AL7" s="429" t="str">
        <f>IF($J7="","",SUMIF(Personnel_Data,$J7,'Personnel Data'!H:H))</f>
        <v/>
      </c>
      <c r="AM7" s="429" t="str">
        <f>IF($J7="","",SUMIF(Personnel_Data,$J7,'Personnel Data'!I:I))</f>
        <v/>
      </c>
      <c r="AN7" s="429" t="str">
        <f>IF($J7="","",SUMIF(Personnel_Data,$J7,'Personnel Data'!J:J))</f>
        <v/>
      </c>
      <c r="AO7" s="429" t="str">
        <f>IF($J7="","",SUMIF(Personnel_Data,$J7,'Personnel Data'!K:K))</f>
        <v/>
      </c>
    </row>
    <row r="8" spans="1:41" ht="30" x14ac:dyDescent="0.25">
      <c r="A8" s="354" t="s">
        <v>246</v>
      </c>
      <c r="B8" s="355" t="s">
        <v>233</v>
      </c>
      <c r="C8" s="356">
        <f>SUMIF('R&amp;R Generic Detailed Budget'!$C:$C,'SF424 Form Summary'!$B8,'R&amp;R Generic Detailed Budget'!L:L)</f>
        <v>0</v>
      </c>
      <c r="D8" s="356">
        <f>SUMIF('R&amp;R Generic Detailed Budget'!$C:$C,'SF424 Form Summary'!$B8,'R&amp;R Generic Detailed Budget'!M:M)</f>
        <v>0</v>
      </c>
      <c r="E8" s="356">
        <f>SUMIF('R&amp;R Generic Detailed Budget'!$C:$C,'SF424 Form Summary'!$B8,'R&amp;R Generic Detailed Budget'!N:N)</f>
        <v>0</v>
      </c>
      <c r="F8" s="356">
        <f>SUMIF('R&amp;R Generic Detailed Budget'!$C:$C,'SF424 Form Summary'!$B8,'R&amp;R Generic Detailed Budget'!O:O)</f>
        <v>0</v>
      </c>
      <c r="G8" s="356">
        <f>SUMIF('R&amp;R Generic Detailed Budget'!$C:$C,'SF424 Form Summary'!$B8,'R&amp;R Generic Detailed Budget'!P:P)</f>
        <v>0</v>
      </c>
      <c r="H8" s="357">
        <f>SUM(C8:G8)</f>
        <v>0</v>
      </c>
      <c r="K8" s="435" t="s">
        <v>358</v>
      </c>
      <c r="L8" s="428" t="s">
        <v>334</v>
      </c>
      <c r="M8" s="428" t="s">
        <v>335</v>
      </c>
      <c r="N8" s="428" t="s">
        <v>336</v>
      </c>
      <c r="O8" s="428" t="s">
        <v>344</v>
      </c>
      <c r="P8" s="428"/>
      <c r="Q8" s="428" t="s">
        <v>340</v>
      </c>
      <c r="R8" s="428" t="s">
        <v>341</v>
      </c>
      <c r="S8" s="428" t="s">
        <v>342</v>
      </c>
      <c r="T8" s="428" t="s">
        <v>343</v>
      </c>
      <c r="U8" s="428"/>
      <c r="V8" s="428" t="s">
        <v>345</v>
      </c>
      <c r="W8" s="428" t="s">
        <v>346</v>
      </c>
      <c r="X8" s="428" t="s">
        <v>347</v>
      </c>
      <c r="Y8" s="428" t="s">
        <v>348</v>
      </c>
      <c r="Z8" s="428"/>
      <c r="AA8" s="428" t="s">
        <v>349</v>
      </c>
      <c r="AB8" s="428" t="s">
        <v>350</v>
      </c>
      <c r="AC8" s="428" t="s">
        <v>351</v>
      </c>
      <c r="AD8" s="428" t="s">
        <v>352</v>
      </c>
      <c r="AE8" s="428"/>
      <c r="AF8" s="428" t="s">
        <v>353</v>
      </c>
      <c r="AG8" s="428" t="s">
        <v>354</v>
      </c>
      <c r="AH8" s="428" t="s">
        <v>355</v>
      </c>
      <c r="AI8" s="428" t="s">
        <v>356</v>
      </c>
      <c r="AJ8" s="428"/>
      <c r="AK8" s="428" t="s">
        <v>369</v>
      </c>
      <c r="AL8" s="428" t="s">
        <v>370</v>
      </c>
      <c r="AM8" s="428" t="s">
        <v>371</v>
      </c>
      <c r="AN8" s="428" t="s">
        <v>372</v>
      </c>
      <c r="AO8" s="428" t="s">
        <v>373</v>
      </c>
    </row>
    <row r="9" spans="1:41" x14ac:dyDescent="0.25">
      <c r="A9" s="354" t="s">
        <v>247</v>
      </c>
      <c r="B9" s="355" t="s">
        <v>234</v>
      </c>
      <c r="C9" s="356">
        <f>SUMIF('R&amp;R Generic Detailed Budget'!$C:$C,'SF424 Form Summary'!$B9,'R&amp;R Generic Detailed Budget'!L:L)</f>
        <v>0</v>
      </c>
      <c r="D9" s="356">
        <f>SUMIF('R&amp;R Generic Detailed Budget'!$C:$C,'SF424 Form Summary'!$B9,'R&amp;R Generic Detailed Budget'!M:M)</f>
        <v>0</v>
      </c>
      <c r="E9" s="356">
        <f>SUMIF('R&amp;R Generic Detailed Budget'!$C:$C,'SF424 Form Summary'!$B9,'R&amp;R Generic Detailed Budget'!N:N)</f>
        <v>0</v>
      </c>
      <c r="F9" s="356">
        <f>SUMIF('R&amp;R Generic Detailed Budget'!$C:$C,'SF424 Form Summary'!$B9,'R&amp;R Generic Detailed Budget'!O:O)</f>
        <v>0</v>
      </c>
      <c r="G9" s="356">
        <f>SUMIF('R&amp;R Generic Detailed Budget'!$C:$C,'SF424 Form Summary'!$B9,'R&amp;R Generic Detailed Budget'!P:P)</f>
        <v>0</v>
      </c>
      <c r="H9" s="357">
        <f t="shared" ref="H9:H29" si="0">SUM(C9:G9)</f>
        <v>0</v>
      </c>
      <c r="K9" s="458"/>
      <c r="L9" s="429" t="str">
        <f>IF($K9="","",SUMIF(Personnel_Data,$K9,'Personnel Data'!S:S))</f>
        <v/>
      </c>
      <c r="M9" s="430" t="str">
        <f>IF($K9="","",SUMIF(Personnel_Data,$K9,'Personnel Data'!Z:Z))</f>
        <v/>
      </c>
      <c r="N9" s="430" t="str">
        <f>IF($K9="","",SUMIF(Personnel_Data,$K9,'Personnel Data'!AM:AM))</f>
        <v/>
      </c>
      <c r="O9" s="430">
        <f>SUM(M9:N9)</f>
        <v>0</v>
      </c>
      <c r="P9" s="431"/>
      <c r="Q9" s="429" t="str">
        <f>IF($K9="","",SUMIF(Personnel_Data,$K9,'Personnel Data'!T:T))</f>
        <v/>
      </c>
      <c r="R9" s="430" t="str">
        <f>IF($K9="","",SUMIF(Personnel_Data,$K9,'Personnel Data'!AA:AA))</f>
        <v/>
      </c>
      <c r="S9" s="430" t="str">
        <f>IF($K9="","",SUMIF(Personnel_Data,$K9,'Personnel Data'!AN:AN))</f>
        <v/>
      </c>
      <c r="T9" s="430">
        <f>SUM(R9:S9)</f>
        <v>0</v>
      </c>
      <c r="U9" s="431"/>
      <c r="V9" s="429" t="str">
        <f>IF($K9="","",SUMIF(Personnel_Data,$K9,'Personnel Data'!U:U))</f>
        <v/>
      </c>
      <c r="W9" s="430" t="str">
        <f>IF($K9="","",SUMIF(Personnel_Data,$K9,'Personnel Data'!AB:AB))</f>
        <v/>
      </c>
      <c r="X9" s="430" t="str">
        <f>IF($K9="","",SUMIF(Personnel_Data,$K9,'Personnel Data'!AO:AO))</f>
        <v/>
      </c>
      <c r="Y9" s="430">
        <f>SUM(W9:X9)</f>
        <v>0</v>
      </c>
      <c r="Z9" s="431"/>
      <c r="AA9" s="429" t="str">
        <f>IF($K9="","",SUMIF(Personnel_Data,$K9,'Personnel Data'!V:V))</f>
        <v/>
      </c>
      <c r="AB9" s="430" t="str">
        <f>IF($K9="","",SUMIF(Personnel_Data,$K9,'Personnel Data'!AC:AC))</f>
        <v/>
      </c>
      <c r="AC9" s="430" t="str">
        <f>IF($K9="","",SUMIF(Personnel_Data,$K9,'Personnel Data'!AP:AP))</f>
        <v/>
      </c>
      <c r="AD9" s="430">
        <f>SUM(AB9:AC9)</f>
        <v>0</v>
      </c>
      <c r="AE9" s="431"/>
      <c r="AF9" s="429" t="str">
        <f>IF($K9="","",SUMIF(Personnel_Data,$K9,'Personnel Data'!W:W))</f>
        <v/>
      </c>
      <c r="AG9" s="430" t="str">
        <f>IF($K9="","",SUMIF(Personnel_Data,$K9,'Personnel Data'!AD:AD))</f>
        <v/>
      </c>
      <c r="AH9" s="430" t="str">
        <f>IF($K9="","",SUMIF(Personnel_Data,$K9,'Personnel Data'!AQ:AQ))</f>
        <v/>
      </c>
      <c r="AI9" s="430">
        <f>SUM(AG9:AH9)</f>
        <v>0</v>
      </c>
      <c r="AJ9" s="431"/>
      <c r="AK9" s="430" t="str">
        <f>IF($K9="","",SUMIF(Personnel_Data,$K9,'Personnel Data'!G:G))</f>
        <v/>
      </c>
      <c r="AL9" s="430" t="str">
        <f>IF($K9="","",SUMIF(Personnel_Data,$K9,'Personnel Data'!H:H))</f>
        <v/>
      </c>
      <c r="AM9" s="430" t="str">
        <f>IF($K9="","",SUMIF(Personnel_Data,$K9,'Personnel Data'!I:I))</f>
        <v/>
      </c>
      <c r="AN9" s="430" t="str">
        <f>IF($K9="","",SUMIF(Personnel_Data,$K9,'Personnel Data'!J:J))</f>
        <v/>
      </c>
      <c r="AO9" s="430" t="str">
        <f>IF($K9="","",SUMIF(Personnel_Data,$K9,'Personnel Data'!K:K))</f>
        <v/>
      </c>
    </row>
    <row r="10" spans="1:41" x14ac:dyDescent="0.25">
      <c r="A10" s="354" t="s">
        <v>248</v>
      </c>
      <c r="B10" s="355" t="s">
        <v>249</v>
      </c>
      <c r="C10" s="356">
        <f>'R&amp;R Generic Detailed Budget'!L96</f>
        <v>0</v>
      </c>
      <c r="D10" s="356">
        <f>'R&amp;R Generic Detailed Budget'!M96</f>
        <v>0</v>
      </c>
      <c r="E10" s="356">
        <f>'R&amp;R Generic Detailed Budget'!N96</f>
        <v>0</v>
      </c>
      <c r="F10" s="356">
        <f>'R&amp;R Generic Detailed Budget'!O96</f>
        <v>0</v>
      </c>
      <c r="G10" s="356">
        <f>'R&amp;R Generic Detailed Budget'!P96</f>
        <v>0</v>
      </c>
      <c r="H10" s="357">
        <f t="shared" si="0"/>
        <v>0</v>
      </c>
      <c r="K10" s="458"/>
      <c r="L10" s="429" t="str">
        <f>IF($K10="","",SUMIF(Personnel_Data,$K10,'Personnel Data'!S:S))</f>
        <v/>
      </c>
      <c r="M10" s="430" t="str">
        <f>IF($K10="","",SUMIF(Personnel_Data,$K10,'Personnel Data'!Z:Z))</f>
        <v/>
      </c>
      <c r="N10" s="430" t="str">
        <f>IF($K10="","",SUMIF(Personnel_Data,$K10,'Personnel Data'!AM:AM))</f>
        <v/>
      </c>
      <c r="O10" s="430">
        <f t="shared" ref="O10:O16" si="1">SUM(M10:N10)</f>
        <v>0</v>
      </c>
      <c r="P10" s="431"/>
      <c r="Q10" s="429" t="str">
        <f>IF($K10="","",SUMIF(Personnel_Data,$K10,'Personnel Data'!T:T))</f>
        <v/>
      </c>
      <c r="R10" s="430" t="str">
        <f>IF($K10="","",SUMIF(Personnel_Data,$K10,'Personnel Data'!AA:AA))</f>
        <v/>
      </c>
      <c r="S10" s="430" t="str">
        <f>IF($K10="","",SUMIF(Personnel_Data,$K10,'Personnel Data'!AN:AN))</f>
        <v/>
      </c>
      <c r="T10" s="430">
        <f t="shared" ref="T10:T16" si="2">SUM(R10:S10)</f>
        <v>0</v>
      </c>
      <c r="U10" s="431"/>
      <c r="V10" s="429" t="str">
        <f>IF($K10="","",SUMIF(Personnel_Data,$K10,'Personnel Data'!U:U))</f>
        <v/>
      </c>
      <c r="W10" s="430" t="str">
        <f>IF($K10="","",SUMIF(Personnel_Data,$K10,'Personnel Data'!AB:AB))</f>
        <v/>
      </c>
      <c r="X10" s="430" t="str">
        <f>IF($K10="","",SUMIF(Personnel_Data,$K10,'Personnel Data'!AO:AO))</f>
        <v/>
      </c>
      <c r="Y10" s="430">
        <f t="shared" ref="Y10:Y16" si="3">SUM(W10:X10)</f>
        <v>0</v>
      </c>
      <c r="Z10" s="431"/>
      <c r="AA10" s="429" t="str">
        <f>IF($K10="","",SUMIF(Personnel_Data,$K10,'Personnel Data'!V:V))</f>
        <v/>
      </c>
      <c r="AB10" s="430" t="str">
        <f>IF($K10="","",SUMIF(Personnel_Data,$K10,'Personnel Data'!AC:AC))</f>
        <v/>
      </c>
      <c r="AC10" s="430" t="str">
        <f>IF($K10="","",SUMIF(Personnel_Data,$K10,'Personnel Data'!AP:AP))</f>
        <v/>
      </c>
      <c r="AD10" s="430">
        <f t="shared" ref="AD10:AD16" si="4">SUM(AB10:AC10)</f>
        <v>0</v>
      </c>
      <c r="AE10" s="431"/>
      <c r="AF10" s="429" t="str">
        <f>IF($K10="","",SUMIF(Personnel_Data,$K10,'Personnel Data'!W:W))</f>
        <v/>
      </c>
      <c r="AG10" s="430" t="str">
        <f>IF($K10="","",SUMIF(Personnel_Data,$K10,'Personnel Data'!AD:AD))</f>
        <v/>
      </c>
      <c r="AH10" s="430" t="str">
        <f>IF($K10="","",SUMIF(Personnel_Data,$K10,'Personnel Data'!AQ:AQ))</f>
        <v/>
      </c>
      <c r="AI10" s="430">
        <f t="shared" ref="AI10:AI16" si="5">SUM(AG10:AH10)</f>
        <v>0</v>
      </c>
      <c r="AJ10" s="431"/>
      <c r="AK10" s="430" t="str">
        <f>IF($K10="","",SUMIF(Personnel_Data,$K10,'Personnel Data'!G:G))</f>
        <v/>
      </c>
      <c r="AL10" s="430" t="str">
        <f>IF($K10="","",SUMIF(Personnel_Data,$K10,'Personnel Data'!H:H))</f>
        <v/>
      </c>
      <c r="AM10" s="430" t="str">
        <f>IF($K10="","",SUMIF(Personnel_Data,$K10,'Personnel Data'!I:I))</f>
        <v/>
      </c>
      <c r="AN10" s="430" t="str">
        <f>IF($K10="","",SUMIF(Personnel_Data,$K10,'Personnel Data'!J:J))</f>
        <v/>
      </c>
      <c r="AO10" s="430" t="str">
        <f>IF($K10="","",SUMIF(Personnel_Data,$K10,'Personnel Data'!K:K))</f>
        <v/>
      </c>
    </row>
    <row r="11" spans="1:41" x14ac:dyDescent="0.25">
      <c r="A11" s="354" t="s">
        <v>250</v>
      </c>
      <c r="B11" s="355" t="s">
        <v>251</v>
      </c>
      <c r="C11" s="356">
        <f>'R&amp;R Generic Detailed Budget'!L102</f>
        <v>0</v>
      </c>
      <c r="D11" s="356">
        <f>'R&amp;R Generic Detailed Budget'!M102</f>
        <v>0</v>
      </c>
      <c r="E11" s="356">
        <f>'R&amp;R Generic Detailed Budget'!N102</f>
        <v>0</v>
      </c>
      <c r="F11" s="356">
        <f>'R&amp;R Generic Detailed Budget'!O102</f>
        <v>0</v>
      </c>
      <c r="G11" s="356">
        <f>'R&amp;R Generic Detailed Budget'!P102</f>
        <v>0</v>
      </c>
      <c r="H11" s="357">
        <f t="shared" si="0"/>
        <v>0</v>
      </c>
      <c r="K11" s="458"/>
      <c r="L11" s="429" t="str">
        <f>IF($K11="","",SUMIF(Personnel_Data,$K11,'Personnel Data'!S:S))</f>
        <v/>
      </c>
      <c r="M11" s="430" t="str">
        <f>IF($K11="","",SUMIF(Personnel_Data,$K11,'Personnel Data'!Z:Z))</f>
        <v/>
      </c>
      <c r="N11" s="467" t="str">
        <f>IF($K11="","",SUMIF(Personnel_Data,$K11,'Personnel Data'!AM:AM))</f>
        <v/>
      </c>
      <c r="O11" s="430">
        <f t="shared" si="1"/>
        <v>0</v>
      </c>
      <c r="P11" s="431"/>
      <c r="Q11" s="429" t="str">
        <f>IF($K11="","",SUMIF(Personnel_Data,$K11,'Personnel Data'!T:T))</f>
        <v/>
      </c>
      <c r="R11" s="430" t="str">
        <f>IF($K11="","",SUMIF(Personnel_Data,$K11,'Personnel Data'!AA:AA))</f>
        <v/>
      </c>
      <c r="S11" s="430" t="str">
        <f>IF($K11="","",SUMIF(Personnel_Data,$K11,'Personnel Data'!AN:AN))</f>
        <v/>
      </c>
      <c r="T11" s="430">
        <f t="shared" si="2"/>
        <v>0</v>
      </c>
      <c r="U11" s="431"/>
      <c r="V11" s="429" t="str">
        <f>IF($K11="","",SUMIF(Personnel_Data,$K11,'Personnel Data'!U:U))</f>
        <v/>
      </c>
      <c r="W11" s="430" t="str">
        <f>IF($K11="","",SUMIF(Personnel_Data,$K11,'Personnel Data'!AB:AB))</f>
        <v/>
      </c>
      <c r="X11" s="430" t="str">
        <f>IF($K11="","",SUMIF(Personnel_Data,$K11,'Personnel Data'!AO:AO))</f>
        <v/>
      </c>
      <c r="Y11" s="430">
        <f t="shared" si="3"/>
        <v>0</v>
      </c>
      <c r="Z11" s="431"/>
      <c r="AA11" s="429" t="str">
        <f>IF($K11="","",SUMIF(Personnel_Data,$K11,'Personnel Data'!V:V))</f>
        <v/>
      </c>
      <c r="AB11" s="430" t="str">
        <f>IF($K11="","",SUMIF(Personnel_Data,$K11,'Personnel Data'!AC:AC))</f>
        <v/>
      </c>
      <c r="AC11" s="430" t="str">
        <f>IF($K11="","",SUMIF(Personnel_Data,$K11,'Personnel Data'!AP:AP))</f>
        <v/>
      </c>
      <c r="AD11" s="430">
        <f t="shared" si="4"/>
        <v>0</v>
      </c>
      <c r="AE11" s="431"/>
      <c r="AF11" s="429" t="str">
        <f>IF($K11="","",SUMIF(Personnel_Data,$K11,'Personnel Data'!W:W))</f>
        <v/>
      </c>
      <c r="AG11" s="430" t="str">
        <f>IF($K11="","",SUMIF(Personnel_Data,$K11,'Personnel Data'!AD:AD))</f>
        <v/>
      </c>
      <c r="AH11" s="430" t="str">
        <f>IF($K11="","",SUMIF(Personnel_Data,$K11,'Personnel Data'!AQ:AQ))</f>
        <v/>
      </c>
      <c r="AI11" s="430">
        <f t="shared" si="5"/>
        <v>0</v>
      </c>
      <c r="AJ11" s="431"/>
      <c r="AK11" s="430" t="str">
        <f>IF($K11="","",SUMIF(Personnel_Data,$K11,'Personnel Data'!G:G))</f>
        <v/>
      </c>
      <c r="AL11" s="430" t="str">
        <f>IF($K11="","",SUMIF(Personnel_Data,$K11,'Personnel Data'!H:H))</f>
        <v/>
      </c>
      <c r="AM11" s="430" t="str">
        <f>IF($K11="","",SUMIF(Personnel_Data,$K11,'Personnel Data'!I:I))</f>
        <v/>
      </c>
      <c r="AN11" s="430" t="str">
        <f>IF($K11="","",SUMIF(Personnel_Data,$K11,'Personnel Data'!J:J))</f>
        <v/>
      </c>
      <c r="AO11" s="430" t="str">
        <f>IF($K11="","",SUMIF(Personnel_Data,$K11,'Personnel Data'!K:K))</f>
        <v/>
      </c>
    </row>
    <row r="12" spans="1:41" x14ac:dyDescent="0.25">
      <c r="A12" s="354" t="s">
        <v>252</v>
      </c>
      <c r="B12" s="355" t="s">
        <v>253</v>
      </c>
      <c r="C12" s="356">
        <f>'R&amp;R Generic Detailed Budget'!L109</f>
        <v>0</v>
      </c>
      <c r="D12" s="356">
        <f>'R&amp;R Generic Detailed Budget'!M109</f>
        <v>0</v>
      </c>
      <c r="E12" s="356">
        <f>'R&amp;R Generic Detailed Budget'!N109</f>
        <v>0</v>
      </c>
      <c r="F12" s="356">
        <f>'R&amp;R Generic Detailed Budget'!O109</f>
        <v>0</v>
      </c>
      <c r="G12" s="356">
        <f>'R&amp;R Generic Detailed Budget'!P109</f>
        <v>0</v>
      </c>
      <c r="H12" s="357">
        <f t="shared" si="0"/>
        <v>0</v>
      </c>
      <c r="K12" s="458"/>
      <c r="L12" s="429" t="str">
        <f>IF($K12="","",SUMIF(Personnel_Data,$K12,'Personnel Data'!S:S))</f>
        <v/>
      </c>
      <c r="M12" s="430" t="str">
        <f>IF($K12="","",SUMIF(Personnel_Data,$K12,'Personnel Data'!Z:Z))</f>
        <v/>
      </c>
      <c r="N12" s="467" t="str">
        <f>IF($K12="","",SUMIF(Personnel_Data,$K12,'Personnel Data'!AM:AM))</f>
        <v/>
      </c>
      <c r="O12" s="430">
        <f>SUM(M12:N12)</f>
        <v>0</v>
      </c>
      <c r="P12" s="431"/>
      <c r="Q12" s="429" t="str">
        <f>IF($K12="","",SUMIF(Personnel_Data,$K12,'Personnel Data'!T:T))</f>
        <v/>
      </c>
      <c r="R12" s="430" t="str">
        <f>IF($K12="","",SUMIF(Personnel_Data,$K12,'Personnel Data'!AA:AA))</f>
        <v/>
      </c>
      <c r="S12" s="430" t="str">
        <f>IF($K12="","",SUMIF(Personnel_Data,$K12,'Personnel Data'!AN:AN))</f>
        <v/>
      </c>
      <c r="T12" s="430">
        <f>SUM(R12:S12)</f>
        <v>0</v>
      </c>
      <c r="U12" s="431"/>
      <c r="V12" s="429" t="str">
        <f>IF($K12="","",SUMIF(Personnel_Data,$K12,'Personnel Data'!U:U))</f>
        <v/>
      </c>
      <c r="W12" s="430" t="str">
        <f>IF($K12="","",SUMIF(Personnel_Data,$K12,'Personnel Data'!AB:AB))</f>
        <v/>
      </c>
      <c r="X12" s="430" t="str">
        <f>IF($K12="","",SUMIF(Personnel_Data,$K12,'Personnel Data'!AO:AO))</f>
        <v/>
      </c>
      <c r="Y12" s="430">
        <f>SUM(W12:X12)</f>
        <v>0</v>
      </c>
      <c r="Z12" s="431"/>
      <c r="AA12" s="429" t="str">
        <f>IF($K12="","",SUMIF(Personnel_Data,$K12,'Personnel Data'!V:V))</f>
        <v/>
      </c>
      <c r="AB12" s="430" t="str">
        <f>IF($K12="","",SUMIF(Personnel_Data,$K12,'Personnel Data'!AC:AC))</f>
        <v/>
      </c>
      <c r="AC12" s="430" t="str">
        <f>IF($K12="","",SUMIF(Personnel_Data,$K12,'Personnel Data'!AP:AP))</f>
        <v/>
      </c>
      <c r="AD12" s="430">
        <f>SUM(AB12:AC12)</f>
        <v>0</v>
      </c>
      <c r="AE12" s="431"/>
      <c r="AF12" s="429" t="str">
        <f>IF($K12="","",SUMIF(Personnel_Data,$K12,'Personnel Data'!W:W))</f>
        <v/>
      </c>
      <c r="AG12" s="430" t="str">
        <f>IF($K12="","",SUMIF(Personnel_Data,$K12,'Personnel Data'!AD:AD))</f>
        <v/>
      </c>
      <c r="AH12" s="430" t="str">
        <f>IF($K12="","",SUMIF(Personnel_Data,$K12,'Personnel Data'!AQ:AQ))</f>
        <v/>
      </c>
      <c r="AI12" s="430">
        <f>SUM(AG12:AH12)</f>
        <v>0</v>
      </c>
      <c r="AJ12" s="431"/>
      <c r="AK12" s="430" t="str">
        <f>IF($K12="","",SUMIF(Personnel_Data,$K12,'Personnel Data'!G:G))</f>
        <v/>
      </c>
      <c r="AL12" s="430" t="str">
        <f>IF($K12="","",SUMIF(Personnel_Data,$K12,'Personnel Data'!H:H))</f>
        <v/>
      </c>
      <c r="AM12" s="430" t="str">
        <f>IF($K12="","",SUMIF(Personnel_Data,$K12,'Personnel Data'!I:I))</f>
        <v/>
      </c>
      <c r="AN12" s="430" t="str">
        <f>IF($K12="","",SUMIF(Personnel_Data,$K12,'Personnel Data'!J:J))</f>
        <v/>
      </c>
      <c r="AO12" s="430" t="str">
        <f>IF($K12="","",SUMIF(Personnel_Data,$K12,'Personnel Data'!K:K))</f>
        <v/>
      </c>
    </row>
    <row r="13" spans="1:41" x14ac:dyDescent="0.25">
      <c r="A13" s="354" t="s">
        <v>242</v>
      </c>
      <c r="B13" s="355" t="s">
        <v>254</v>
      </c>
      <c r="C13" s="356">
        <f>SUM(C14:C18)+SUM(C22:C26)</f>
        <v>0</v>
      </c>
      <c r="D13" s="356">
        <f>SUM(D14:D18)+SUM(D22:D26)</f>
        <v>0</v>
      </c>
      <c r="E13" s="356">
        <f>'R&amp;R Generic Detailed Budget'!N111</f>
        <v>0</v>
      </c>
      <c r="F13" s="356">
        <f>'R&amp;R Generic Detailed Budget'!O111</f>
        <v>0</v>
      </c>
      <c r="G13" s="356">
        <f>'R&amp;R Generic Detailed Budget'!P111</f>
        <v>0</v>
      </c>
      <c r="H13" s="357">
        <f t="shared" si="0"/>
        <v>0</v>
      </c>
      <c r="K13" s="458"/>
      <c r="L13" s="429" t="str">
        <f>IF(K13="","",VLOOKUP($K13,Personnel_Data,19,FALSE))</f>
        <v/>
      </c>
      <c r="M13" s="430" t="str">
        <f>IF($K13="","",SUMIF(Personnel_Data,$K13,'Personnel Data'!Z:Z))</f>
        <v/>
      </c>
      <c r="N13" s="430" t="str">
        <f>IF(L13="","",SUMIF(Personnel_Data,$K13,'Personnel Data'!AM:AM))</f>
        <v/>
      </c>
      <c r="O13" s="430">
        <f t="shared" si="1"/>
        <v>0</v>
      </c>
      <c r="P13" s="431"/>
      <c r="Q13" s="429" t="str">
        <f>IF($K13="","",SUMIF(Personnel_Data,$K13,'Personnel Data'!T:T))</f>
        <v/>
      </c>
      <c r="R13" s="430" t="str">
        <f>IF($K13="","",SUMIF(Personnel_Data,$K13,'Personnel Data'!AA:AA))</f>
        <v/>
      </c>
      <c r="S13" s="430" t="str">
        <f>IF($K13="","",SUMIF(Personnel_Data,$K13,'Personnel Data'!AN:AN))</f>
        <v/>
      </c>
      <c r="T13" s="430">
        <f t="shared" si="2"/>
        <v>0</v>
      </c>
      <c r="U13" s="431"/>
      <c r="V13" s="429" t="str">
        <f>IF($K13="","",SUMIF(Personnel_Data,$K13,'Personnel Data'!U:U))</f>
        <v/>
      </c>
      <c r="W13" s="430" t="str">
        <f>IF($K13="","",SUMIF(Personnel_Data,$K13,'Personnel Data'!AB:AB))</f>
        <v/>
      </c>
      <c r="X13" s="430" t="str">
        <f>IF($K13="","",SUMIF(Personnel_Data,$K13,'Personnel Data'!AO:AO))</f>
        <v/>
      </c>
      <c r="Y13" s="430">
        <f t="shared" si="3"/>
        <v>0</v>
      </c>
      <c r="Z13" s="431"/>
      <c r="AA13" s="429" t="str">
        <f>IF($K13="","",SUMIF(Personnel_Data,$K13,'Personnel Data'!V:V))</f>
        <v/>
      </c>
      <c r="AB13" s="430" t="str">
        <f>IF($K13="","",SUMIF(Personnel_Data,$K13,'Personnel Data'!AC:AC))</f>
        <v/>
      </c>
      <c r="AC13" s="430" t="str">
        <f>IF($K13="","",SUMIF(Personnel_Data,$K13,'Personnel Data'!AP:AP))</f>
        <v/>
      </c>
      <c r="AD13" s="430">
        <f t="shared" si="4"/>
        <v>0</v>
      </c>
      <c r="AE13" s="431"/>
      <c r="AF13" s="429" t="str">
        <f>IF($K13="","",SUMIF(Personnel_Data,$K13,'Personnel Data'!W:W))</f>
        <v/>
      </c>
      <c r="AG13" s="430" t="str">
        <f>IF($K13="","",SUMIF(Personnel_Data,$K13,'Personnel Data'!AD:AD))</f>
        <v/>
      </c>
      <c r="AH13" s="430" t="str">
        <f>IF($K13="","",SUMIF(Personnel_Data,$K13,'Personnel Data'!AQ:AQ))</f>
        <v/>
      </c>
      <c r="AI13" s="430">
        <f t="shared" si="5"/>
        <v>0</v>
      </c>
      <c r="AJ13" s="431"/>
      <c r="AK13" s="430" t="str">
        <f>IF($K13="","",SUMIF(Personnel_Data,$K13,'Personnel Data'!G:G))</f>
        <v/>
      </c>
      <c r="AL13" s="430" t="str">
        <f>IF($K13="","",SUMIF(Personnel_Data,$K13,'Personnel Data'!H:H))</f>
        <v/>
      </c>
      <c r="AM13" s="430" t="str">
        <f>IF($K13="","",SUMIF(Personnel_Data,$K13,'Personnel Data'!I:I))</f>
        <v/>
      </c>
      <c r="AN13" s="430" t="str">
        <f>IF($K13="","",SUMIF(Personnel_Data,$K13,'Personnel Data'!J:J))</f>
        <v/>
      </c>
      <c r="AO13" s="430" t="str">
        <f>IF($K13="","",SUMIF(Personnel_Data,$K13,'Personnel Data'!K:K))</f>
        <v/>
      </c>
    </row>
    <row r="14" spans="1:41" x14ac:dyDescent="0.25">
      <c r="A14" s="358" t="s">
        <v>255</v>
      </c>
      <c r="B14" s="359" t="s">
        <v>256</v>
      </c>
      <c r="C14" s="356">
        <f>'R&amp;R Generic Detailed Budget'!L118</f>
        <v>0</v>
      </c>
      <c r="D14" s="356">
        <f>'R&amp;R Generic Detailed Budget'!M118</f>
        <v>0</v>
      </c>
      <c r="E14" s="356">
        <f>'R&amp;R Generic Detailed Budget'!N118</f>
        <v>0</v>
      </c>
      <c r="F14" s="356">
        <f>'R&amp;R Generic Detailed Budget'!O118</f>
        <v>0</v>
      </c>
      <c r="G14" s="356">
        <f>'R&amp;R Generic Detailed Budget'!P118</f>
        <v>0</v>
      </c>
      <c r="H14" s="357">
        <f t="shared" si="0"/>
        <v>0</v>
      </c>
      <c r="K14" s="458"/>
      <c r="L14" s="429" t="str">
        <f>IF(K14="","",VLOOKUP($K14,Personnel_Data,19,FALSE))</f>
        <v/>
      </c>
      <c r="M14" s="430" t="str">
        <f>IF($K14="","",SUMIF(Personnel_Data,$K14,'Personnel Data'!Z:Z))</f>
        <v/>
      </c>
      <c r="N14" s="430" t="str">
        <f>IF(L14="","",SUMIF(Personnel_Data,$K14,'Personnel Data'!AM:AM))</f>
        <v/>
      </c>
      <c r="O14" s="430">
        <f t="shared" si="1"/>
        <v>0</v>
      </c>
      <c r="P14" s="431"/>
      <c r="Q14" s="429" t="str">
        <f>IF($K14="","",SUMIF(Personnel_Data,$K14,'Personnel Data'!T:T))</f>
        <v/>
      </c>
      <c r="R14" s="430" t="str">
        <f>IF($K14="","",SUMIF(Personnel_Data,$K14,'Personnel Data'!AA:AA))</f>
        <v/>
      </c>
      <c r="S14" s="430" t="str">
        <f>IF($K14="","",SUMIF(Personnel_Data,$K14,'Personnel Data'!AN:AN))</f>
        <v/>
      </c>
      <c r="T14" s="430">
        <f t="shared" si="2"/>
        <v>0</v>
      </c>
      <c r="U14" s="431"/>
      <c r="V14" s="429" t="str">
        <f>IF($K14="","",SUMIF(Personnel_Data,$K14,'Personnel Data'!U:U))</f>
        <v/>
      </c>
      <c r="W14" s="430" t="str">
        <f>IF($K14="","",SUMIF(Personnel_Data,$K14,'Personnel Data'!AB:AB))</f>
        <v/>
      </c>
      <c r="X14" s="430" t="str">
        <f>IF($K14="","",SUMIF(Personnel_Data,$K14,'Personnel Data'!AO:AO))</f>
        <v/>
      </c>
      <c r="Y14" s="430">
        <f t="shared" si="3"/>
        <v>0</v>
      </c>
      <c r="Z14" s="431"/>
      <c r="AA14" s="429" t="str">
        <f>IF($K14="","",SUMIF(Personnel_Data,$K14,'Personnel Data'!V:V))</f>
        <v/>
      </c>
      <c r="AB14" s="430" t="str">
        <f>IF($K14="","",SUMIF(Personnel_Data,$K14,'Personnel Data'!AC:AC))</f>
        <v/>
      </c>
      <c r="AC14" s="430" t="str">
        <f>IF($K14="","",SUMIF(Personnel_Data,$K14,'Personnel Data'!AP:AP))</f>
        <v/>
      </c>
      <c r="AD14" s="430">
        <f t="shared" si="4"/>
        <v>0</v>
      </c>
      <c r="AE14" s="431"/>
      <c r="AF14" s="429" t="str">
        <f>IF($K14="","",SUMIF(Personnel_Data,$K14,'Personnel Data'!W:W))</f>
        <v/>
      </c>
      <c r="AG14" s="430" t="str">
        <f>IF($K14="","",SUMIF(Personnel_Data,$K14,'Personnel Data'!AD:AD))</f>
        <v/>
      </c>
      <c r="AH14" s="430" t="str">
        <f>IF($K14="","",SUMIF(Personnel_Data,$K14,'Personnel Data'!AQ:AQ))</f>
        <v/>
      </c>
      <c r="AI14" s="430">
        <f t="shared" si="5"/>
        <v>0</v>
      </c>
      <c r="AJ14" s="431"/>
      <c r="AK14" s="430" t="str">
        <f>IF($K14="","",SUMIF(Personnel_Data,$K14,'Personnel Data'!G:G))</f>
        <v/>
      </c>
      <c r="AL14" s="430" t="str">
        <f>IF($K14="","",SUMIF(Personnel_Data,$K14,'Personnel Data'!H:H))</f>
        <v/>
      </c>
      <c r="AM14" s="430" t="str">
        <f>IF($K14="","",SUMIF(Personnel_Data,$K14,'Personnel Data'!I:I))</f>
        <v/>
      </c>
      <c r="AN14" s="430" t="str">
        <f>IF($K14="","",SUMIF(Personnel_Data,$K14,'Personnel Data'!J:J))</f>
        <v/>
      </c>
      <c r="AO14" s="430" t="str">
        <f>IF($K14="","",SUMIF(Personnel_Data,$K14,'Personnel Data'!K:K))</f>
        <v/>
      </c>
    </row>
    <row r="15" spans="1:41" x14ac:dyDescent="0.25">
      <c r="A15" s="358" t="s">
        <v>257</v>
      </c>
      <c r="B15" s="359" t="s">
        <v>258</v>
      </c>
      <c r="C15" s="356">
        <f>'R&amp;R Generic Detailed Budget'!L124</f>
        <v>0</v>
      </c>
      <c r="D15" s="356">
        <f>'R&amp;R Generic Detailed Budget'!M124</f>
        <v>0</v>
      </c>
      <c r="E15" s="356">
        <f>'R&amp;R Generic Detailed Budget'!N124</f>
        <v>0</v>
      </c>
      <c r="F15" s="356">
        <f>'R&amp;R Generic Detailed Budget'!O124</f>
        <v>0</v>
      </c>
      <c r="G15" s="356">
        <f>'R&amp;R Generic Detailed Budget'!P124</f>
        <v>0</v>
      </c>
      <c r="H15" s="357">
        <f t="shared" si="0"/>
        <v>0</v>
      </c>
      <c r="K15" s="458"/>
      <c r="L15" s="429" t="str">
        <f>IF(K15="","",VLOOKUP($K15,Personnel_Data,19,FALSE))</f>
        <v/>
      </c>
      <c r="M15" s="430" t="str">
        <f>IF($K15="","",SUMIF(Personnel_Data,$K15,'Personnel Data'!Z:Z))</f>
        <v/>
      </c>
      <c r="N15" s="430" t="str">
        <f>IF(L15="","",SUMIF(Personnel_Data,$K15,'Personnel Data'!AM:AM))</f>
        <v/>
      </c>
      <c r="O15" s="430">
        <f t="shared" si="1"/>
        <v>0</v>
      </c>
      <c r="P15" s="431"/>
      <c r="Q15" s="429" t="str">
        <f>IF($K15="","",SUMIF(Personnel_Data,$K15,'Personnel Data'!T:T))</f>
        <v/>
      </c>
      <c r="R15" s="430" t="str">
        <f>IF($K15="","",SUMIF(Personnel_Data,$K15,'Personnel Data'!AA:AA))</f>
        <v/>
      </c>
      <c r="S15" s="430" t="str">
        <f>IF($K15="","",SUMIF(Personnel_Data,$K15,'Personnel Data'!AN:AN))</f>
        <v/>
      </c>
      <c r="T15" s="430">
        <f t="shared" si="2"/>
        <v>0</v>
      </c>
      <c r="U15" s="431"/>
      <c r="V15" s="429" t="str">
        <f>IF($K15="","",SUMIF(Personnel_Data,$K15,'Personnel Data'!U:U))</f>
        <v/>
      </c>
      <c r="W15" s="430" t="str">
        <f>IF($K15="","",SUMIF(Personnel_Data,$K15,'Personnel Data'!AB:AB))</f>
        <v/>
      </c>
      <c r="X15" s="430" t="str">
        <f>IF($K15="","",SUMIF(Personnel_Data,$K15,'Personnel Data'!AO:AO))</f>
        <v/>
      </c>
      <c r="Y15" s="430">
        <f t="shared" si="3"/>
        <v>0</v>
      </c>
      <c r="Z15" s="431"/>
      <c r="AA15" s="429" t="str">
        <f>IF($K15="","",SUMIF(Personnel_Data,$K15,'Personnel Data'!V:V))</f>
        <v/>
      </c>
      <c r="AB15" s="430" t="str">
        <f>IF($K15="","",SUMIF(Personnel_Data,$K15,'Personnel Data'!AC:AC))</f>
        <v/>
      </c>
      <c r="AC15" s="430" t="str">
        <f>IF($K15="","",SUMIF(Personnel_Data,$K15,'Personnel Data'!AP:AP))</f>
        <v/>
      </c>
      <c r="AD15" s="430">
        <f t="shared" si="4"/>
        <v>0</v>
      </c>
      <c r="AE15" s="431"/>
      <c r="AF15" s="429" t="str">
        <f>IF($K15="","",SUMIF(Personnel_Data,$K15,'Personnel Data'!W:W))</f>
        <v/>
      </c>
      <c r="AG15" s="430" t="str">
        <f>IF($K15="","",SUMIF(Personnel_Data,$K15,'Personnel Data'!AD:AD))</f>
        <v/>
      </c>
      <c r="AH15" s="430" t="str">
        <f>IF($K15="","",SUMIF(Personnel_Data,$K15,'Personnel Data'!AQ:AQ))</f>
        <v/>
      </c>
      <c r="AI15" s="430">
        <f t="shared" si="5"/>
        <v>0</v>
      </c>
      <c r="AJ15" s="431"/>
      <c r="AK15" s="430" t="str">
        <f>IF($K15="","",SUMIF(Personnel_Data,$K15,'Personnel Data'!G:G))</f>
        <v/>
      </c>
      <c r="AL15" s="430" t="str">
        <f>IF($K15="","",SUMIF(Personnel_Data,$K15,'Personnel Data'!H:H))</f>
        <v/>
      </c>
      <c r="AM15" s="430" t="str">
        <f>IF($K15="","",SUMIF(Personnel_Data,$K15,'Personnel Data'!I:I))</f>
        <v/>
      </c>
      <c r="AN15" s="430" t="str">
        <f>IF($K15="","",SUMIF(Personnel_Data,$K15,'Personnel Data'!J:J))</f>
        <v/>
      </c>
      <c r="AO15" s="430" t="str">
        <f>IF($K15="","",SUMIF(Personnel_Data,$K15,'Personnel Data'!K:K))</f>
        <v/>
      </c>
    </row>
    <row r="16" spans="1:41" ht="15.6" customHeight="1" x14ac:dyDescent="0.25">
      <c r="A16" s="358" t="s">
        <v>259</v>
      </c>
      <c r="B16" s="359" t="s">
        <v>260</v>
      </c>
      <c r="C16" s="356">
        <f>'R&amp;R Generic Detailed Budget'!L131</f>
        <v>0</v>
      </c>
      <c r="D16" s="356">
        <f>'R&amp;R Generic Detailed Budget'!M131</f>
        <v>0</v>
      </c>
      <c r="E16" s="356">
        <f>'R&amp;R Generic Detailed Budget'!N131</f>
        <v>0</v>
      </c>
      <c r="F16" s="356">
        <f>'R&amp;R Generic Detailed Budget'!O131</f>
        <v>0</v>
      </c>
      <c r="G16" s="356">
        <f>'R&amp;R Generic Detailed Budget'!P131</f>
        <v>0</v>
      </c>
      <c r="H16" s="357">
        <f t="shared" si="0"/>
        <v>0</v>
      </c>
      <c r="K16" s="458"/>
      <c r="L16" s="429" t="str">
        <f>IF(K16="","",VLOOKUP($K16,Personnel_Data,19,FALSE))</f>
        <v/>
      </c>
      <c r="M16" s="430" t="str">
        <f>IF($K16="","",SUMIF(Personnel_Data,$K16,'Personnel Data'!Z:Z))</f>
        <v/>
      </c>
      <c r="N16" s="430" t="str">
        <f>IF(L16="","",SUMIF(Personnel_Data,$K16,'Personnel Data'!AM:AM))</f>
        <v/>
      </c>
      <c r="O16" s="430">
        <f t="shared" si="1"/>
        <v>0</v>
      </c>
      <c r="P16" s="431"/>
      <c r="Q16" s="429" t="str">
        <f>IF($K16="","",SUMIF(Personnel_Data,$K16,'Personnel Data'!T:T))</f>
        <v/>
      </c>
      <c r="R16" s="430" t="str">
        <f>IF($K16="","",SUMIF(Personnel_Data,$K16,'Personnel Data'!AA:AA))</f>
        <v/>
      </c>
      <c r="S16" s="430" t="str">
        <f>IF($K16="","",SUMIF(Personnel_Data,$K16,'Personnel Data'!AN:AN))</f>
        <v/>
      </c>
      <c r="T16" s="430">
        <f t="shared" si="2"/>
        <v>0</v>
      </c>
      <c r="U16" s="431"/>
      <c r="V16" s="429" t="str">
        <f>IF($K16="","",SUMIF(Personnel_Data,$K16,'Personnel Data'!U:U))</f>
        <v/>
      </c>
      <c r="W16" s="430" t="str">
        <f>IF($K16="","",SUMIF(Personnel_Data,$K16,'Personnel Data'!AB:AB))</f>
        <v/>
      </c>
      <c r="X16" s="430" t="str">
        <f>IF($K16="","",SUMIF(Personnel_Data,$K16,'Personnel Data'!AO:AO))</f>
        <v/>
      </c>
      <c r="Y16" s="430">
        <f t="shared" si="3"/>
        <v>0</v>
      </c>
      <c r="Z16" s="431"/>
      <c r="AA16" s="429" t="str">
        <f>IF($K16="","",SUMIF(Personnel_Data,$K16,'Personnel Data'!V:V))</f>
        <v/>
      </c>
      <c r="AB16" s="430" t="str">
        <f>IF($K16="","",SUMIF(Personnel_Data,$K16,'Personnel Data'!AC:AC))</f>
        <v/>
      </c>
      <c r="AC16" s="430" t="str">
        <f>IF($K16="","",SUMIF(Personnel_Data,$K16,'Personnel Data'!AP:AP))</f>
        <v/>
      </c>
      <c r="AD16" s="430">
        <f t="shared" si="4"/>
        <v>0</v>
      </c>
      <c r="AE16" s="431"/>
      <c r="AF16" s="429" t="str">
        <f>IF($K16="","",SUMIF(Personnel_Data,$K16,'Personnel Data'!W:W))</f>
        <v/>
      </c>
      <c r="AG16" s="430" t="str">
        <f>IF($K16="","",SUMIF(Personnel_Data,$K16,'Personnel Data'!AD:AD))</f>
        <v/>
      </c>
      <c r="AH16" s="430" t="str">
        <f>IF($K16="","",SUMIF(Personnel_Data,$K16,'Personnel Data'!AQ:AQ))</f>
        <v/>
      </c>
      <c r="AI16" s="430">
        <f t="shared" si="5"/>
        <v>0</v>
      </c>
      <c r="AJ16" s="431"/>
      <c r="AK16" s="430" t="str">
        <f>IF($K16="","",SUMIF(Personnel_Data,$K16,'Personnel Data'!G:G))</f>
        <v/>
      </c>
      <c r="AL16" s="430" t="str">
        <f>IF($K16="","",SUMIF(Personnel_Data,$K16,'Personnel Data'!H:H))</f>
        <v/>
      </c>
      <c r="AM16" s="430" t="str">
        <f>IF($K16="","",SUMIF(Personnel_Data,$K16,'Personnel Data'!I:I))</f>
        <v/>
      </c>
      <c r="AN16" s="430" t="str">
        <f>IF($K16="","",SUMIF(Personnel_Data,$K16,'Personnel Data'!J:J))</f>
        <v/>
      </c>
      <c r="AO16" s="430" t="str">
        <f>IF($K16="","",SUMIF(Personnel_Data,$K16,'Personnel Data'!K:K))</f>
        <v/>
      </c>
    </row>
    <row r="17" spans="1:41" x14ac:dyDescent="0.25">
      <c r="A17" s="358" t="s">
        <v>261</v>
      </c>
      <c r="B17" s="359" t="s">
        <v>262</v>
      </c>
      <c r="C17" s="356">
        <f>'R&amp;R Generic Detailed Budget'!L137</f>
        <v>0</v>
      </c>
      <c r="D17" s="356">
        <f>'R&amp;R Generic Detailed Budget'!M137</f>
        <v>0</v>
      </c>
      <c r="E17" s="356">
        <f>'R&amp;R Generic Detailed Budget'!N137</f>
        <v>0</v>
      </c>
      <c r="F17" s="356">
        <f>'R&amp;R Generic Detailed Budget'!O137</f>
        <v>0</v>
      </c>
      <c r="G17" s="356">
        <f>'R&amp;R Generic Detailed Budget'!P137</f>
        <v>0</v>
      </c>
      <c r="H17" s="357">
        <f t="shared" si="0"/>
        <v>0</v>
      </c>
      <c r="K17" s="458"/>
      <c r="Q17" s="429" t="str">
        <f>IF($K17="","",SUMIF(Personnel_Data,$K17,'Personnel Data'!T:T))</f>
        <v/>
      </c>
      <c r="R17" s="430" t="str">
        <f>IF($K17="","",SUMIF(Personnel_Data,$K17,'Personnel Data'!AA:AA))</f>
        <v/>
      </c>
      <c r="S17" s="430" t="str">
        <f>IF($K17="","",SUMIF(Personnel_Data,$K17,'Personnel Data'!AN:AN))</f>
        <v/>
      </c>
      <c r="AJ17" s="432"/>
      <c r="AK17" s="430" t="str">
        <f>IF($K17="","",SUMIF(Personnel_Data,$K17,'Personnel Data'!G:G))</f>
        <v/>
      </c>
      <c r="AL17" s="430" t="str">
        <f>IF($K17="","",SUMIF(Personnel_Data,$K17,'Personnel Data'!H:H))</f>
        <v/>
      </c>
      <c r="AM17" s="430" t="str">
        <f>IF($K17="","",SUMIF(Personnel_Data,$K17,'Personnel Data'!I:I))</f>
        <v/>
      </c>
      <c r="AN17" s="430" t="str">
        <f>IF($K17="","",SUMIF(Personnel_Data,$K17,'Personnel Data'!J:J))</f>
        <v/>
      </c>
      <c r="AO17" s="430" t="str">
        <f>IF($K17="","",SUMIF(Personnel_Data,$K17,'Personnel Data'!K:K))</f>
        <v/>
      </c>
    </row>
    <row r="18" spans="1:41" ht="24.75" x14ac:dyDescent="0.25">
      <c r="A18" s="358" t="s">
        <v>263</v>
      </c>
      <c r="B18" s="359" t="s">
        <v>264</v>
      </c>
      <c r="C18" s="356">
        <f>'R&amp;R Generic Detailed Budget'!L154</f>
        <v>0</v>
      </c>
      <c r="D18" s="356">
        <f>'R&amp;R Generic Detailed Budget'!M154</f>
        <v>0</v>
      </c>
      <c r="E18" s="356">
        <f>'R&amp;R Generic Detailed Budget'!N154</f>
        <v>0</v>
      </c>
      <c r="F18" s="356">
        <f>'R&amp;R Generic Detailed Budget'!O154</f>
        <v>0</v>
      </c>
      <c r="G18" s="356">
        <f>'R&amp;R Generic Detailed Budget'!P154</f>
        <v>0</v>
      </c>
      <c r="H18" s="357">
        <f t="shared" si="0"/>
        <v>0</v>
      </c>
      <c r="K18" s="457" t="s">
        <v>337</v>
      </c>
      <c r="L18" s="428" t="s">
        <v>334</v>
      </c>
      <c r="M18" s="428" t="s">
        <v>335</v>
      </c>
      <c r="N18" s="428" t="s">
        <v>336</v>
      </c>
      <c r="O18" s="428" t="s">
        <v>344</v>
      </c>
      <c r="P18" s="428"/>
      <c r="Q18" s="428" t="s">
        <v>340</v>
      </c>
      <c r="R18" s="428" t="s">
        <v>341</v>
      </c>
      <c r="S18" s="428" t="s">
        <v>342</v>
      </c>
      <c r="T18" s="428" t="s">
        <v>343</v>
      </c>
      <c r="U18" s="428"/>
      <c r="V18" s="428" t="s">
        <v>345</v>
      </c>
      <c r="W18" s="428" t="s">
        <v>346</v>
      </c>
      <c r="X18" s="428" t="s">
        <v>347</v>
      </c>
      <c r="Y18" s="428" t="s">
        <v>348</v>
      </c>
      <c r="Z18" s="428"/>
      <c r="AA18" s="428" t="s">
        <v>349</v>
      </c>
      <c r="AB18" s="428" t="s">
        <v>350</v>
      </c>
      <c r="AC18" s="428" t="s">
        <v>351</v>
      </c>
      <c r="AD18" s="428" t="s">
        <v>352</v>
      </c>
      <c r="AE18" s="428"/>
      <c r="AF18" s="428" t="s">
        <v>353</v>
      </c>
      <c r="AG18" s="428" t="s">
        <v>354</v>
      </c>
      <c r="AH18" s="428" t="s">
        <v>355</v>
      </c>
      <c r="AI18" s="428" t="s">
        <v>356</v>
      </c>
    </row>
    <row r="19" spans="1:41" outlineLevel="1" x14ac:dyDescent="0.25">
      <c r="A19" s="358"/>
      <c r="B19" s="462" t="str">
        <f>'R&amp;R Generic Detailed Budget'!B139</f>
        <v>[Total costs, Subrecipient Institution 1]</v>
      </c>
      <c r="C19" s="440">
        <f>'R&amp;R Generic Detailed Budget'!L141</f>
        <v>0</v>
      </c>
      <c r="D19" s="440">
        <f>'R&amp;R Generic Detailed Budget'!M141</f>
        <v>0</v>
      </c>
      <c r="E19" s="440">
        <f>'R&amp;R Generic Detailed Budget'!N141</f>
        <v>0</v>
      </c>
      <c r="F19" s="440">
        <f>'R&amp;R Generic Detailed Budget'!O141</f>
        <v>0</v>
      </c>
      <c r="G19" s="440">
        <f>'R&amp;R Generic Detailed Budget'!P141</f>
        <v>0</v>
      </c>
      <c r="H19" s="441">
        <f t="shared" si="0"/>
        <v>0</v>
      </c>
      <c r="K19" s="461" t="s">
        <v>338</v>
      </c>
      <c r="L19" s="429">
        <f>IF(K19="N/A","",VLOOKUP($K19,Personnel_Data,19,FALSE))</f>
        <v>0</v>
      </c>
      <c r="M19" s="430">
        <f>VLOOKUP($K19,Personnel_Data,26,FALSE)</f>
        <v>0</v>
      </c>
      <c r="N19" s="430">
        <f>VLOOKUP($K19,Personnel_Data,39,FALSE)</f>
        <v>0</v>
      </c>
      <c r="O19" s="430">
        <f>SUM(M19:N19)</f>
        <v>0</v>
      </c>
      <c r="P19" s="431"/>
      <c r="Q19" s="429">
        <f>VLOOKUP($K19,Personnel_Data,19,FALSE)</f>
        <v>0</v>
      </c>
      <c r="R19" s="430">
        <f>VLOOKUP($K19,Personnel_Data,27,FALSE)</f>
        <v>0</v>
      </c>
      <c r="S19" s="430">
        <f>VLOOKUP($K19,Personnel_Data,40,FALSE)</f>
        <v>0</v>
      </c>
      <c r="T19" s="433">
        <f>SUM(R19:S19)</f>
        <v>0</v>
      </c>
      <c r="U19" s="431"/>
      <c r="V19" s="429">
        <f>VLOOKUP($K19,Personnel_Data,21,FALSE)</f>
        <v>0</v>
      </c>
      <c r="W19" s="430">
        <f>VLOOKUP($K19,Personnel_Data,28,FALSE)</f>
        <v>0</v>
      </c>
      <c r="X19" s="430">
        <f>VLOOKUP($K19,Personnel_Data,41,FALSE)</f>
        <v>0</v>
      </c>
      <c r="Y19" s="433">
        <f>SUM(W19:X19)</f>
        <v>0</v>
      </c>
      <c r="Z19" s="431"/>
      <c r="AA19" s="429">
        <f>VLOOKUP($K19,Personnel_Data,22,FALSE)</f>
        <v>0</v>
      </c>
      <c r="AB19" s="430">
        <f>VLOOKUP($K19,Personnel_Data,29,FALSE)</f>
        <v>0</v>
      </c>
      <c r="AC19" s="430">
        <f>VLOOKUP($K19,Personnel_Data,42,FALSE)</f>
        <v>0</v>
      </c>
      <c r="AD19" s="433">
        <f>SUM(AB19:AC19)</f>
        <v>0</v>
      </c>
      <c r="AE19" s="431"/>
      <c r="AF19" s="429">
        <f>VLOOKUP($K19,Personnel_Data,22,FALSE)</f>
        <v>0</v>
      </c>
      <c r="AG19" s="430">
        <f>VLOOKUP($K19,Personnel_Data,30,FALSE)</f>
        <v>0</v>
      </c>
      <c r="AH19" s="430">
        <f>VLOOKUP($K19,Personnel_Data,42,FALSE)</f>
        <v>0</v>
      </c>
      <c r="AI19" s="433">
        <f>SUM(AG19:AH19)</f>
        <v>0</v>
      </c>
    </row>
    <row r="20" spans="1:41" outlineLevel="1" x14ac:dyDescent="0.25">
      <c r="A20" s="358"/>
      <c r="B20" s="462" t="str">
        <f>'R&amp;R Generic Detailed Budget'!B143</f>
        <v>[Total costs, Subrecipient Institution 2]</v>
      </c>
      <c r="C20" s="440">
        <f>'R&amp;R Generic Detailed Budget'!L145</f>
        <v>0</v>
      </c>
      <c r="D20" s="440">
        <f>'R&amp;R Generic Detailed Budget'!M145</f>
        <v>0</v>
      </c>
      <c r="E20" s="440">
        <f>'R&amp;R Generic Detailed Budget'!N145</f>
        <v>0</v>
      </c>
      <c r="F20" s="440">
        <f>'R&amp;R Generic Detailed Budget'!O145</f>
        <v>0</v>
      </c>
      <c r="G20" s="440">
        <f>'R&amp;R Generic Detailed Budget'!P145</f>
        <v>0</v>
      </c>
      <c r="H20" s="441">
        <f t="shared" si="0"/>
        <v>0</v>
      </c>
      <c r="K20" s="461" t="s">
        <v>339</v>
      </c>
      <c r="L20" s="429">
        <f>IF(K20="ADD NAME","",VLOOKUP($K20,Personnel_Data,19,FALSE))</f>
        <v>0</v>
      </c>
      <c r="M20" s="430">
        <f ca="1">IF(K20="","",SUMIF(Personnel_Data,$K20,'Personnel Data'!Z:Z))</f>
        <v>0</v>
      </c>
      <c r="N20" s="467">
        <f>IF(K20="","",VLOOKUP($K20,Personnel_Data,39,FALSE))</f>
        <v>0</v>
      </c>
      <c r="O20" s="430">
        <f ca="1">SUM(M20:N20)</f>
        <v>0</v>
      </c>
      <c r="P20" s="431"/>
      <c r="Q20" s="429">
        <f>VLOOKUP($K20,Personnel_Data,20,FALSE)</f>
        <v>0</v>
      </c>
      <c r="R20" s="430">
        <f>VLOOKUP($K20,Personnel_Data,27,FALSE)</f>
        <v>0</v>
      </c>
      <c r="S20" s="430">
        <f>VLOOKUP($K20,Personnel_Data,40,FALSE)</f>
        <v>0</v>
      </c>
      <c r="T20" s="433">
        <f>SUM(R20:S20)</f>
        <v>0</v>
      </c>
      <c r="U20" s="431"/>
      <c r="V20" s="429">
        <f>VLOOKUP($K20,Personnel_Data,21,FALSE)</f>
        <v>0</v>
      </c>
      <c r="W20" s="430">
        <f>VLOOKUP($K20,Personnel_Data,28,FALSE)</f>
        <v>0</v>
      </c>
      <c r="X20" s="430">
        <f>VLOOKUP($K20,Personnel_Data,41,FALSE)</f>
        <v>0</v>
      </c>
      <c r="Y20" s="433">
        <f t="shared" ref="Y20:Y36" si="6">SUM(W20:X20)</f>
        <v>0</v>
      </c>
      <c r="Z20" s="431"/>
      <c r="AA20" s="429">
        <f>VLOOKUP($K20,Personnel_Data,22,FALSE)</f>
        <v>0</v>
      </c>
      <c r="AB20" s="430">
        <f>VLOOKUP($K20,Personnel_Data,29,FALSE)</f>
        <v>0</v>
      </c>
      <c r="AC20" s="430">
        <f>VLOOKUP($K20,Personnel_Data,42,FALSE)</f>
        <v>0</v>
      </c>
      <c r="AD20" s="433">
        <f t="shared" ref="AD20:AD36" si="7">SUM(AB20:AC20)</f>
        <v>0</v>
      </c>
      <c r="AE20" s="431"/>
      <c r="AF20" s="429">
        <f>VLOOKUP($K20,Personnel_Data,23,FALSE)</f>
        <v>0</v>
      </c>
      <c r="AG20" s="430">
        <f>VLOOKUP($K20,Personnel_Data,30,FALSE)</f>
        <v>0</v>
      </c>
      <c r="AH20" s="430">
        <f>VLOOKUP($K20,Personnel_Data,43,FALSE)</f>
        <v>0</v>
      </c>
      <c r="AI20" s="433">
        <f t="shared" ref="AI20:AI26" si="8">SUM(AG20:AH20)</f>
        <v>0</v>
      </c>
    </row>
    <row r="21" spans="1:41" outlineLevel="1" x14ac:dyDescent="0.25">
      <c r="A21" s="358"/>
      <c r="B21" s="462" t="str">
        <f>'R&amp;R Generic Detailed Budget'!B147</f>
        <v>[Total costs, Subrecipient Institution 3]</v>
      </c>
      <c r="C21" s="440">
        <f>'R&amp;R Generic Detailed Budget'!L149</f>
        <v>0</v>
      </c>
      <c r="D21" s="440">
        <f>'R&amp;R Generic Detailed Budget'!M149</f>
        <v>0</v>
      </c>
      <c r="E21" s="440">
        <f>'R&amp;R Generic Detailed Budget'!N149</f>
        <v>0</v>
      </c>
      <c r="F21" s="440">
        <f>'R&amp;R Generic Detailed Budget'!O149</f>
        <v>0</v>
      </c>
      <c r="G21" s="440">
        <f>'R&amp;R Generic Detailed Budget'!P149</f>
        <v>0</v>
      </c>
      <c r="H21" s="441">
        <f t="shared" si="0"/>
        <v>0</v>
      </c>
      <c r="K21" s="458"/>
      <c r="L21" s="429" t="str">
        <f>IF($K21="","",SUMIF(Personnel_Data,$K21,'Personnel Data'!S:S))</f>
        <v/>
      </c>
      <c r="M21" s="430" t="str">
        <f>IF($K21="","",SUMIF(Personnel_Data,$K21,'Personnel Data'!Z:Z))</f>
        <v/>
      </c>
      <c r="N21" s="467" t="str">
        <f>IF($K21="","",SUMIF(Personnel_Data,$K21,'Personnel Data'!AM:AM))</f>
        <v/>
      </c>
      <c r="O21" s="430">
        <f>SUM(M21:N21)</f>
        <v>0</v>
      </c>
      <c r="P21" s="431"/>
      <c r="Q21" s="429" t="str">
        <f>IF($K21="","",SUMIF(Personnel_Data,$K21,'Personnel Data'!T:T))</f>
        <v/>
      </c>
      <c r="R21" s="430" t="str">
        <f>IF($K21="","",SUMIF(Personnel_Data,$K21,'Personnel Data'!AA:AA))</f>
        <v/>
      </c>
      <c r="S21" s="430" t="str">
        <f>IF($K21="","",SUMIF(Personnel_Data,$K21,'Personnel Data'!AN:AN))</f>
        <v/>
      </c>
      <c r="T21" s="433">
        <f>SUM(R21:S21)</f>
        <v>0</v>
      </c>
      <c r="U21" s="431"/>
      <c r="V21" s="429" t="str">
        <f>IF($K21="","",SUMIF(Personnel_Data,$K21,'Personnel Data'!U:U))</f>
        <v/>
      </c>
      <c r="W21" s="430" t="str">
        <f>IF($K21="","",SUMIF(Personnel_Data,$K21,'Personnel Data'!AB:AB))</f>
        <v/>
      </c>
      <c r="X21" s="430" t="str">
        <f>IF($K21="","",SUMIF(Personnel_Data,$K21,'Personnel Data'!AO:AO))</f>
        <v/>
      </c>
      <c r="Y21" s="433">
        <f t="shared" si="6"/>
        <v>0</v>
      </c>
      <c r="Z21" s="431"/>
      <c r="AA21" s="429" t="str">
        <f>IF($K21="","",SUMIF(Personnel_Data,$K21,'Personnel Data'!V:V))</f>
        <v/>
      </c>
      <c r="AB21" s="430" t="str">
        <f>IF($K21="","",SUMIF(Personnel_Data,$K21,'Personnel Data'!AC:AC))</f>
        <v/>
      </c>
      <c r="AC21" s="430" t="str">
        <f>IF($K21="","",SUMIF(Personnel_Data,$K21,'Personnel Data'!AP:AP))</f>
        <v/>
      </c>
      <c r="AD21" s="433">
        <f t="shared" si="7"/>
        <v>0</v>
      </c>
      <c r="AE21" s="431"/>
      <c r="AF21" s="429" t="str">
        <f>IF($K21="","",SUMIF(Personnel_Data,$K21,'Personnel Data'!W:W))</f>
        <v/>
      </c>
      <c r="AG21" s="430" t="str">
        <f>IF($K21="","",SUMIF(Personnel_Data,$K21,'Personnel Data'!AD:AD))</f>
        <v/>
      </c>
      <c r="AH21" s="430" t="str">
        <f>IF($K21="","",SUMIF(Personnel_Data,$K21,'Personnel Data'!AQ:AQ))</f>
        <v/>
      </c>
      <c r="AI21" s="433">
        <f t="shared" si="8"/>
        <v>0</v>
      </c>
    </row>
    <row r="22" spans="1:41" x14ac:dyDescent="0.25">
      <c r="A22" s="358" t="s">
        <v>265</v>
      </c>
      <c r="B22" s="359" t="s">
        <v>266</v>
      </c>
      <c r="C22" s="356">
        <f>'R&amp;R Generic Detailed Budget'!L158</f>
        <v>0</v>
      </c>
      <c r="D22" s="356">
        <f>'R&amp;R Generic Detailed Budget'!M158</f>
        <v>0</v>
      </c>
      <c r="E22" s="356">
        <f>'R&amp;R Generic Detailed Budget'!N158</f>
        <v>0</v>
      </c>
      <c r="F22" s="356">
        <f>'R&amp;R Generic Detailed Budget'!O158</f>
        <v>0</v>
      </c>
      <c r="G22" s="356">
        <f>'R&amp;R Generic Detailed Budget'!P158</f>
        <v>0</v>
      </c>
      <c r="H22" s="357">
        <f t="shared" si="0"/>
        <v>0</v>
      </c>
      <c r="K22" s="458"/>
      <c r="L22" s="429" t="str">
        <f>IF($K22="","",SUMIF(Personnel_Data,$K22,'Personnel Data'!S:S))</f>
        <v/>
      </c>
      <c r="M22" s="430" t="str">
        <f>IF($K22="","",SUMIF(Personnel_Data,$K22,'Personnel Data'!Z:Z))</f>
        <v/>
      </c>
      <c r="N22" s="467" t="str">
        <f>IF($K22="","",SUMIF(Personnel_Data,$K22,'Personnel Data'!AM:AM))</f>
        <v/>
      </c>
      <c r="O22" s="430">
        <f t="shared" ref="O22:O36" si="9">SUM(M22:N22)</f>
        <v>0</v>
      </c>
      <c r="P22" s="431"/>
      <c r="Q22" s="429" t="str">
        <f>IF($K22="","",SUMIF(Personnel_Data,$K22,'Personnel Data'!T:T))</f>
        <v/>
      </c>
      <c r="R22" s="430" t="str">
        <f>IF($K22="","",SUMIF(Personnel_Data,$K22,'Personnel Data'!AA:AA))</f>
        <v/>
      </c>
      <c r="S22" s="430" t="str">
        <f>IF($K22="","",SUMIF(Personnel_Data,$K22,'Personnel Data'!AN:AN))</f>
        <v/>
      </c>
      <c r="T22" s="433">
        <f>SUM(R22:S22)</f>
        <v>0</v>
      </c>
      <c r="U22" s="431"/>
      <c r="V22" s="429" t="str">
        <f>IF($K22="","",SUMIF(Personnel_Data,$K22,'Personnel Data'!U:U))</f>
        <v/>
      </c>
      <c r="W22" s="430" t="str">
        <f>IF($K22="","",SUMIF(Personnel_Data,$K22,'Personnel Data'!AB:AB))</f>
        <v/>
      </c>
      <c r="X22" s="430" t="str">
        <f>IF($K22="","",SUMIF(Personnel_Data,$K22,'Personnel Data'!AO:AO))</f>
        <v/>
      </c>
      <c r="Y22" s="433">
        <f t="shared" si="6"/>
        <v>0</v>
      </c>
      <c r="Z22" s="431"/>
      <c r="AA22" s="429" t="str">
        <f>IF($K22="","",SUMIF(Personnel_Data,$K22,'Personnel Data'!V:V))</f>
        <v/>
      </c>
      <c r="AB22" s="430" t="str">
        <f>IF($K22="","",SUMIF(Personnel_Data,$K22,'Personnel Data'!AC:AC))</f>
        <v/>
      </c>
      <c r="AC22" s="430" t="str">
        <f>IF($K22="","",SUMIF(Personnel_Data,$K22,'Personnel Data'!AP:AP))</f>
        <v/>
      </c>
      <c r="AD22" s="433">
        <f t="shared" si="7"/>
        <v>0</v>
      </c>
      <c r="AE22" s="431"/>
      <c r="AF22" s="429" t="str">
        <f>IF($K22="","",SUMIF(Personnel_Data,$K22,'Personnel Data'!W:W))</f>
        <v/>
      </c>
      <c r="AG22" s="430" t="str">
        <f>IF($K22="","",SUMIF(Personnel_Data,$K22,'Personnel Data'!AD:AD))</f>
        <v/>
      </c>
      <c r="AH22" s="430" t="str">
        <f>IF($K22="","",SUMIF(Personnel_Data,$K22,'Personnel Data'!AQ:AQ))</f>
        <v/>
      </c>
      <c r="AI22" s="433">
        <f t="shared" si="8"/>
        <v>0</v>
      </c>
    </row>
    <row r="23" spans="1:41" x14ac:dyDescent="0.25">
      <c r="A23" s="358" t="s">
        <v>267</v>
      </c>
      <c r="B23" s="359" t="s">
        <v>268</v>
      </c>
      <c r="C23" s="356">
        <f>'R&amp;R Generic Detailed Budget'!L163</f>
        <v>0</v>
      </c>
      <c r="D23" s="356">
        <f>'R&amp;R Generic Detailed Budget'!M163</f>
        <v>0</v>
      </c>
      <c r="E23" s="356">
        <f>'R&amp;R Generic Detailed Budget'!N163</f>
        <v>0</v>
      </c>
      <c r="F23" s="356">
        <f>'R&amp;R Generic Detailed Budget'!O163</f>
        <v>0</v>
      </c>
      <c r="G23" s="356">
        <f>'R&amp;R Generic Detailed Budget'!P163</f>
        <v>0</v>
      </c>
      <c r="H23" s="357">
        <f t="shared" si="0"/>
        <v>0</v>
      </c>
      <c r="K23" s="458"/>
      <c r="L23" s="429" t="str">
        <f>IF($K23="","",SUMIF(Personnel_Data,$K23,'Personnel Data'!S:S))</f>
        <v/>
      </c>
      <c r="M23" s="430" t="str">
        <f>IF($K23="","",SUMIF(Personnel_Data,$K23,'Personnel Data'!Z:Z))</f>
        <v/>
      </c>
      <c r="N23" s="467" t="str">
        <f>IF($K23="","",SUMIF(Personnel_Data,$K23,'Personnel Data'!AM:AM))</f>
        <v/>
      </c>
      <c r="O23" s="430">
        <f t="shared" si="9"/>
        <v>0</v>
      </c>
      <c r="P23" s="431"/>
      <c r="Q23" s="429" t="str">
        <f>IF($K23="","",SUMIF(Personnel_Data,$K23,'Personnel Data'!T:T))</f>
        <v/>
      </c>
      <c r="R23" s="430" t="str">
        <f>IF($K23="","",SUMIF(Personnel_Data,$K23,'Personnel Data'!AA:AA))</f>
        <v/>
      </c>
      <c r="S23" s="430" t="str">
        <f>IF($K23="","",SUMIF(Personnel_Data,$K23,'Personnel Data'!AN:AN))</f>
        <v/>
      </c>
      <c r="T23" s="433">
        <f t="shared" ref="T23:T36" si="10">SUM(R23:S23)</f>
        <v>0</v>
      </c>
      <c r="U23" s="431"/>
      <c r="V23" s="429" t="str">
        <f>IF($K23="","",SUMIF(Personnel_Data,$K23,'Personnel Data'!U:U))</f>
        <v/>
      </c>
      <c r="W23" s="430" t="str">
        <f>IF($K23="","",SUMIF(Personnel_Data,$K23,'Personnel Data'!AB:AB))</f>
        <v/>
      </c>
      <c r="X23" s="430" t="str">
        <f>IF($K23="","",SUMIF(Personnel_Data,$K23,'Personnel Data'!AO:AO))</f>
        <v/>
      </c>
      <c r="Y23" s="433">
        <f t="shared" si="6"/>
        <v>0</v>
      </c>
      <c r="Z23" s="431"/>
      <c r="AA23" s="429" t="str">
        <f>IF($K23="","",SUMIF(Personnel_Data,$K23,'Personnel Data'!V:V))</f>
        <v/>
      </c>
      <c r="AB23" s="430" t="str">
        <f>IF($K23="","",SUMIF(Personnel_Data,$K23,'Personnel Data'!AC:AC))</f>
        <v/>
      </c>
      <c r="AC23" s="430" t="str">
        <f>IF($K23="","",SUMIF(Personnel_Data,$K23,'Personnel Data'!AP:AP))</f>
        <v/>
      </c>
      <c r="AD23" s="433">
        <f t="shared" si="7"/>
        <v>0</v>
      </c>
      <c r="AE23" s="431"/>
      <c r="AF23" s="429" t="str">
        <f>IF($K23="","",SUMIF(Personnel_Data,$K23,'Personnel Data'!W:W))</f>
        <v/>
      </c>
      <c r="AG23" s="430" t="str">
        <f>IF($K23="","",SUMIF(Personnel_Data,$K23,'Personnel Data'!AD:AD))</f>
        <v/>
      </c>
      <c r="AH23" s="430" t="str">
        <f>IF($K23="","",SUMIF(Personnel_Data,$K23,'Personnel Data'!AQ:AQ))</f>
        <v/>
      </c>
      <c r="AI23" s="433">
        <f t="shared" si="8"/>
        <v>0</v>
      </c>
    </row>
    <row r="24" spans="1:41" ht="14.65" customHeight="1" x14ac:dyDescent="0.25">
      <c r="A24" s="358" t="s">
        <v>269</v>
      </c>
      <c r="B24" s="360" t="s">
        <v>270</v>
      </c>
      <c r="C24" s="356">
        <f>'R&amp;R Generic Detailed Budget'!L169</f>
        <v>0</v>
      </c>
      <c r="D24" s="356">
        <f>'R&amp;R Generic Detailed Budget'!M169</f>
        <v>0</v>
      </c>
      <c r="E24" s="356">
        <f>'R&amp;R Generic Detailed Budget'!N169</f>
        <v>0</v>
      </c>
      <c r="F24" s="356">
        <f>'R&amp;R Generic Detailed Budget'!O169</f>
        <v>0</v>
      </c>
      <c r="G24" s="356">
        <f>'R&amp;R Generic Detailed Budget'!P169</f>
        <v>0</v>
      </c>
      <c r="H24" s="357">
        <f t="shared" si="0"/>
        <v>0</v>
      </c>
      <c r="K24" s="458"/>
      <c r="L24" s="429" t="str">
        <f>IF($K24="","",SUMIF(Personnel_Data,$K24,'Personnel Data'!S:S))</f>
        <v/>
      </c>
      <c r="M24" s="430" t="str">
        <f>IF($K24="","",SUMIF(Personnel_Data,$K24,'Personnel Data'!Z:Z))</f>
        <v/>
      </c>
      <c r="N24" s="430" t="str">
        <f>IF($K24="","",SUMIF(Personnel_Data,$K24,'Personnel Data'!AM:AM))</f>
        <v/>
      </c>
      <c r="O24" s="430">
        <f t="shared" si="9"/>
        <v>0</v>
      </c>
      <c r="P24" s="431"/>
      <c r="Q24" s="429" t="str">
        <f>IF($K24="","",SUMIF(Personnel_Data,$K24,'Personnel Data'!T:T))</f>
        <v/>
      </c>
      <c r="R24" s="430" t="str">
        <f>IF($K24="","",SUMIF(Personnel_Data,$K24,'Personnel Data'!AA:AA))</f>
        <v/>
      </c>
      <c r="S24" s="430" t="str">
        <f>IF($K24="","",SUMIF(Personnel_Data,$K24,'Personnel Data'!AN:AN))</f>
        <v/>
      </c>
      <c r="T24" s="433">
        <f t="shared" si="10"/>
        <v>0</v>
      </c>
      <c r="U24" s="431"/>
      <c r="V24" s="429" t="str">
        <f>IF($K24="","",SUMIF(Personnel_Data,$K24,'Personnel Data'!U:U))</f>
        <v/>
      </c>
      <c r="W24" s="430" t="str">
        <f>IF($K24="","",SUMIF(Personnel_Data,$K24,'Personnel Data'!AB:AB))</f>
        <v/>
      </c>
      <c r="X24" s="430" t="str">
        <f>IF($K24="","",SUMIF(Personnel_Data,$K24,'Personnel Data'!AO:AO))</f>
        <v/>
      </c>
      <c r="Y24" s="433">
        <f t="shared" si="6"/>
        <v>0</v>
      </c>
      <c r="Z24" s="431"/>
      <c r="AA24" s="429" t="str">
        <f>IF($K24="","",SUMIF(Personnel_Data,$K24,'Personnel Data'!V:V))</f>
        <v/>
      </c>
      <c r="AB24" s="430" t="str">
        <f>IF($K24="","",SUMIF(Personnel_Data,$K24,'Personnel Data'!AC:AC))</f>
        <v/>
      </c>
      <c r="AC24" s="430" t="str">
        <f>IF($K24="","",SUMIF(Personnel_Data,$K24,'Personnel Data'!AP:AP))</f>
        <v/>
      </c>
      <c r="AD24" s="433">
        <f t="shared" si="7"/>
        <v>0</v>
      </c>
      <c r="AE24" s="431"/>
      <c r="AF24" s="429" t="str">
        <f>IF($K24="","",SUMIF(Personnel_Data,$K24,'Personnel Data'!W:W))</f>
        <v/>
      </c>
      <c r="AG24" s="430" t="str">
        <f>IF($K24="","",SUMIF(Personnel_Data,$K24,'Personnel Data'!AD:AD))</f>
        <v/>
      </c>
      <c r="AH24" s="430" t="str">
        <f>IF($K24="","",SUMIF(Personnel_Data,$K24,'Personnel Data'!AQ:AQ))</f>
        <v/>
      </c>
      <c r="AI24" s="433">
        <f t="shared" si="8"/>
        <v>0</v>
      </c>
    </row>
    <row r="25" spans="1:41" x14ac:dyDescent="0.25">
      <c r="A25" s="358" t="s">
        <v>271</v>
      </c>
      <c r="B25" s="463" t="str">
        <f>'R&amp;R Generic Detailed Budget'!B171</f>
        <v xml:space="preserve"> [Other Direct - ADD Description if Applicable]</v>
      </c>
      <c r="C25" s="356">
        <f>'R&amp;R Generic Detailed Budget'!L176</f>
        <v>0</v>
      </c>
      <c r="D25" s="356">
        <f>'R&amp;R Generic Detailed Budget'!M176</f>
        <v>0</v>
      </c>
      <c r="E25" s="356">
        <f>'R&amp;R Generic Detailed Budget'!N176</f>
        <v>0</v>
      </c>
      <c r="F25" s="356">
        <f>'R&amp;R Generic Detailed Budget'!O176</f>
        <v>0</v>
      </c>
      <c r="G25" s="356">
        <f>'R&amp;R Generic Detailed Budget'!P176</f>
        <v>0</v>
      </c>
      <c r="H25" s="357">
        <f t="shared" si="0"/>
        <v>0</v>
      </c>
      <c r="K25" s="458"/>
      <c r="L25" s="429" t="str">
        <f>IF($K25="","",SUMIF(Personnel_Data,$K25,'Personnel Data'!S:S))</f>
        <v/>
      </c>
      <c r="M25" s="430" t="str">
        <f>IF($K25="","",SUMIF(Personnel_Data,$K25,'Personnel Data'!Z:Z))</f>
        <v/>
      </c>
      <c r="N25" s="430" t="str">
        <f>IF($K25="","",SUMIF(Personnel_Data,$K25,'Personnel Data'!AM:AM))</f>
        <v/>
      </c>
      <c r="O25" s="430">
        <f t="shared" si="9"/>
        <v>0</v>
      </c>
      <c r="P25" s="431"/>
      <c r="Q25" s="429" t="str">
        <f>IF($K25="","",SUMIF(Personnel_Data,$K25,'Personnel Data'!T:T))</f>
        <v/>
      </c>
      <c r="R25" s="430" t="str">
        <f>IF($K25="","",SUMIF(Personnel_Data,$K25,'Personnel Data'!AA:AA))</f>
        <v/>
      </c>
      <c r="S25" s="430" t="str">
        <f>IF($K25="","",SUMIF(Personnel_Data,$K25,'Personnel Data'!AN:AN))</f>
        <v/>
      </c>
      <c r="T25" s="433">
        <f t="shared" si="10"/>
        <v>0</v>
      </c>
      <c r="U25" s="431"/>
      <c r="V25" s="429" t="str">
        <f>IF($K25="","",SUMIF(Personnel_Data,$K25,'Personnel Data'!U:U))</f>
        <v/>
      </c>
      <c r="W25" s="430" t="str">
        <f>IF($K25="","",SUMIF(Personnel_Data,$K25,'Personnel Data'!AB:AB))</f>
        <v/>
      </c>
      <c r="X25" s="430" t="str">
        <f>IF($K25="","",SUMIF(Personnel_Data,$K25,'Personnel Data'!AO:AO))</f>
        <v/>
      </c>
      <c r="Y25" s="433">
        <f t="shared" si="6"/>
        <v>0</v>
      </c>
      <c r="Z25" s="431"/>
      <c r="AA25" s="429" t="str">
        <f>IF($K25="","",SUMIF(Personnel_Data,$K25,'Personnel Data'!V:V))</f>
        <v/>
      </c>
      <c r="AB25" s="430" t="str">
        <f>IF($K25="","",SUMIF(Personnel_Data,$K25,'Personnel Data'!AC:AC))</f>
        <v/>
      </c>
      <c r="AC25" s="430" t="str">
        <f>IF($K25="","",SUMIF(Personnel_Data,$K25,'Personnel Data'!AP:AP))</f>
        <v/>
      </c>
      <c r="AD25" s="433">
        <f t="shared" si="7"/>
        <v>0</v>
      </c>
      <c r="AE25" s="431"/>
      <c r="AF25" s="429" t="str">
        <f>IF($K25="","",SUMIF(Personnel_Data,$K25,'Personnel Data'!W:W))</f>
        <v/>
      </c>
      <c r="AG25" s="430" t="str">
        <f>IF($K25="","",SUMIF(Personnel_Data,$K25,'Personnel Data'!AD:AD))</f>
        <v/>
      </c>
      <c r="AH25" s="430" t="str">
        <f>IF($K25="","",SUMIF(Personnel_Data,$K25,'Personnel Data'!AQ:AQ))</f>
        <v/>
      </c>
      <c r="AI25" s="433">
        <f t="shared" si="8"/>
        <v>0</v>
      </c>
    </row>
    <row r="26" spans="1:41" x14ac:dyDescent="0.25">
      <c r="A26" s="358" t="s">
        <v>272</v>
      </c>
      <c r="B26" s="463" t="str">
        <f>'R&amp;R Generic Detailed Budget'!B177</f>
        <v xml:space="preserve"> [Other Direct - ADD Description if Applicable]</v>
      </c>
      <c r="C26" s="356">
        <f>'R&amp;R Generic Detailed Budget'!L182</f>
        <v>0</v>
      </c>
      <c r="D26" s="356">
        <f>'R&amp;R Generic Detailed Budget'!M182</f>
        <v>0</v>
      </c>
      <c r="E26" s="356">
        <f>'R&amp;R Generic Detailed Budget'!N182</f>
        <v>0</v>
      </c>
      <c r="F26" s="356">
        <f>'R&amp;R Generic Detailed Budget'!O182</f>
        <v>0</v>
      </c>
      <c r="G26" s="356">
        <f>'R&amp;R Generic Detailed Budget'!P182</f>
        <v>0</v>
      </c>
      <c r="H26" s="357">
        <f t="shared" si="0"/>
        <v>0</v>
      </c>
      <c r="K26" s="458"/>
      <c r="L26" s="429" t="str">
        <f>IF($K26="","",SUMIF(Personnel_Data,$K26,'Personnel Data'!S:S))</f>
        <v/>
      </c>
      <c r="M26" s="430" t="str">
        <f>IF($K26="","",SUMIF(Personnel_Data,$K26,'Personnel Data'!Z:Z))</f>
        <v/>
      </c>
      <c r="N26" s="430" t="str">
        <f>IF($K26="","",SUMIF(Personnel_Data,$K26,'Personnel Data'!AM:AM))</f>
        <v/>
      </c>
      <c r="O26" s="430">
        <f t="shared" si="9"/>
        <v>0</v>
      </c>
      <c r="P26" s="431"/>
      <c r="Q26" s="429" t="str">
        <f>IF($K26="","",SUMIF(Personnel_Data,$K26,'Personnel Data'!T:T))</f>
        <v/>
      </c>
      <c r="R26" s="430" t="str">
        <f>IF($K26="","",SUMIF(Personnel_Data,$K26,'Personnel Data'!AA:AA))</f>
        <v/>
      </c>
      <c r="S26" s="430" t="str">
        <f>IF($K26="","",SUMIF(Personnel_Data,$K26,'Personnel Data'!AN:AN))</f>
        <v/>
      </c>
      <c r="T26" s="433">
        <f t="shared" si="10"/>
        <v>0</v>
      </c>
      <c r="U26" s="431"/>
      <c r="V26" s="429" t="str">
        <f>IF($K26="","",SUMIF(Personnel_Data,$K26,'Personnel Data'!U:U))</f>
        <v/>
      </c>
      <c r="W26" s="430" t="str">
        <f>IF($K26="","",SUMIF(Personnel_Data,$K26,'Personnel Data'!AB:AB))</f>
        <v/>
      </c>
      <c r="X26" s="430" t="str">
        <f>IF($K26="","",SUMIF(Personnel_Data,$K26,'Personnel Data'!AO:AO))</f>
        <v/>
      </c>
      <c r="Y26" s="433">
        <f t="shared" si="6"/>
        <v>0</v>
      </c>
      <c r="Z26" s="431"/>
      <c r="AA26" s="429" t="str">
        <f>IF($K26="","",SUMIF(Personnel_Data,$K26,'Personnel Data'!V:V))</f>
        <v/>
      </c>
      <c r="AB26" s="430" t="str">
        <f>IF($K26="","",SUMIF(Personnel_Data,$K26,'Personnel Data'!AC:AC))</f>
        <v/>
      </c>
      <c r="AC26" s="430" t="str">
        <f>IF($K26="","",SUMIF(Personnel_Data,$K26,'Personnel Data'!AP:AP))</f>
        <v/>
      </c>
      <c r="AD26" s="433">
        <f t="shared" si="7"/>
        <v>0</v>
      </c>
      <c r="AE26" s="431"/>
      <c r="AF26" s="429" t="str">
        <f>IF($K26="","",SUMIF(Personnel_Data,$K26,'Personnel Data'!W:W))</f>
        <v/>
      </c>
      <c r="AG26" s="430" t="str">
        <f>IF($K26="","",SUMIF(Personnel_Data,$K26,'Personnel Data'!AD:AD))</f>
        <v/>
      </c>
      <c r="AH26" s="430" t="str">
        <f>IF($K26="","",SUMIF(Personnel_Data,$K26,'Personnel Data'!AQ:AQ))</f>
        <v/>
      </c>
      <c r="AI26" s="433">
        <f t="shared" si="8"/>
        <v>0</v>
      </c>
    </row>
    <row r="27" spans="1:41" x14ac:dyDescent="0.25">
      <c r="A27" s="354" t="s">
        <v>273</v>
      </c>
      <c r="B27" s="355" t="s">
        <v>274</v>
      </c>
      <c r="C27" s="356">
        <f>'R&amp;R Generic Detailed Budget'!L184</f>
        <v>0</v>
      </c>
      <c r="D27" s="356">
        <f>'R&amp;R Generic Detailed Budget'!M184</f>
        <v>0</v>
      </c>
      <c r="E27" s="356">
        <f>'R&amp;R Generic Detailed Budget'!N184</f>
        <v>0</v>
      </c>
      <c r="F27" s="356">
        <f>'R&amp;R Generic Detailed Budget'!O184</f>
        <v>0</v>
      </c>
      <c r="G27" s="356">
        <f>'R&amp;R Generic Detailed Budget'!P184</f>
        <v>0</v>
      </c>
      <c r="H27" s="357">
        <f>SUM(C27:G27)</f>
        <v>0</v>
      </c>
      <c r="K27" s="459"/>
      <c r="L27" s="429" t="str">
        <f>IF($K27="","",SUMIF(Personnel_Data,$K27,'Personnel Data'!S:S))</f>
        <v/>
      </c>
      <c r="M27" s="430" t="str">
        <f>IF($K27="","",SUMIF(Personnel_Data,$K27,'Personnel Data'!Z:Z))</f>
        <v/>
      </c>
      <c r="N27" s="430" t="str">
        <f>IF($K27="","",SUMIF(Personnel_Data,$K27,'Personnel Data'!AM:AM))</f>
        <v/>
      </c>
      <c r="O27" s="430">
        <f t="shared" si="9"/>
        <v>0</v>
      </c>
      <c r="P27" s="431"/>
      <c r="Q27" s="429" t="str">
        <f>IF($K27="","",SUMIF(Personnel_Data,$K27,'Personnel Data'!T:T))</f>
        <v/>
      </c>
      <c r="R27" s="430" t="str">
        <f>IF($K27="","",SUMIF(Personnel_Data,$K27,'Personnel Data'!AA:AA))</f>
        <v/>
      </c>
      <c r="S27" s="430" t="str">
        <f>IF($K27="","",SUMIF(Personnel_Data,$K27,'Personnel Data'!AN:AN))</f>
        <v/>
      </c>
      <c r="T27" s="433">
        <f t="shared" si="10"/>
        <v>0</v>
      </c>
      <c r="U27" s="431"/>
      <c r="V27" s="429" t="str">
        <f>IF($K27="","",SUMIF(Personnel_Data,$K27,'Personnel Data'!U:U))</f>
        <v/>
      </c>
      <c r="W27" s="430" t="str">
        <f>IF($K27="","",SUMIF(Personnel_Data,$K27,'Personnel Data'!AB:AB))</f>
        <v/>
      </c>
      <c r="X27" s="430" t="str">
        <f>IF($K27="","",SUMIF(Personnel_Data,$K27,'Personnel Data'!AO:AO))</f>
        <v/>
      </c>
      <c r="Y27" s="433">
        <f t="shared" si="6"/>
        <v>0</v>
      </c>
      <c r="Z27" s="431"/>
      <c r="AA27" s="429" t="str">
        <f>IF($K27="","",SUMIF(Personnel_Data,$K27,'Personnel Data'!V:V))</f>
        <v/>
      </c>
      <c r="AB27" s="430" t="str">
        <f>IF($K27="","",SUMIF(Personnel_Data,$K27,'Personnel Data'!AC:AC))</f>
        <v/>
      </c>
      <c r="AC27" s="430" t="str">
        <f>IF($K27="","",SUMIF(Personnel_Data,$K27,'Personnel Data'!AP:AP))</f>
        <v/>
      </c>
      <c r="AD27" s="433">
        <f t="shared" si="7"/>
        <v>0</v>
      </c>
      <c r="AE27" s="431"/>
      <c r="AF27" s="429" t="str">
        <f>IF($K27="","",SUMIF(Personnel_Data,$K27,'Personnel Data'!W:W))</f>
        <v/>
      </c>
      <c r="AG27" s="430" t="str">
        <f>IF($K27="","",SUMIF(Personnel_Data,$K27,'Personnel Data'!AD:AD))</f>
        <v/>
      </c>
      <c r="AH27" s="430" t="str">
        <f>IF($K27="","",SUMIF(Personnel_Data,$K27,'Personnel Data'!AQ:AQ))</f>
        <v/>
      </c>
    </row>
    <row r="28" spans="1:41" x14ac:dyDescent="0.25">
      <c r="A28" s="354"/>
      <c r="B28" s="355" t="s">
        <v>275</v>
      </c>
      <c r="C28" s="356">
        <f>'R&amp;R Generic Detailed Budget'!L186</f>
        <v>0</v>
      </c>
      <c r="D28" s="356">
        <f>'R&amp;R Generic Detailed Budget'!M186</f>
        <v>0</v>
      </c>
      <c r="E28" s="356">
        <f>'R&amp;R Generic Detailed Budget'!N186</f>
        <v>0</v>
      </c>
      <c r="F28" s="356">
        <f>'R&amp;R Generic Detailed Budget'!O186</f>
        <v>0</v>
      </c>
      <c r="G28" s="356">
        <f>'R&amp;R Generic Detailed Budget'!P186</f>
        <v>0</v>
      </c>
      <c r="H28" s="357">
        <f t="shared" si="0"/>
        <v>0</v>
      </c>
      <c r="K28" s="459"/>
      <c r="L28" s="429" t="str">
        <f>IF($K28="","",SUMIF(Personnel_Data,$K28,'Personnel Data'!S:S))</f>
        <v/>
      </c>
      <c r="M28" s="430" t="str">
        <f>IF($K28="","",SUMIF(Personnel_Data,$K28,'Personnel Data'!Z:Z))</f>
        <v/>
      </c>
      <c r="N28" s="430" t="str">
        <f>IF($K28="","",SUMIF(Personnel_Data,$K28,'Personnel Data'!AM:AM))</f>
        <v/>
      </c>
      <c r="O28" s="430">
        <f t="shared" si="9"/>
        <v>0</v>
      </c>
      <c r="P28" s="431"/>
      <c r="Q28" s="429" t="str">
        <f>IF($K28="","",SUMIF(Personnel_Data,$K28,'Personnel Data'!T:T))</f>
        <v/>
      </c>
      <c r="R28" s="430" t="str">
        <f>IF($K28="","",SUMIF(Personnel_Data,$K28,'Personnel Data'!AA:AA))</f>
        <v/>
      </c>
      <c r="S28" s="430" t="str">
        <f>IF($K28="","",SUMIF(Personnel_Data,$K28,'Personnel Data'!AN:AN))</f>
        <v/>
      </c>
      <c r="T28" s="433">
        <f t="shared" si="10"/>
        <v>0</v>
      </c>
      <c r="U28" s="431"/>
      <c r="V28" s="429" t="str">
        <f>IF($K28="","",SUMIF(Personnel_Data,$K28,'Personnel Data'!U:U))</f>
        <v/>
      </c>
      <c r="W28" s="430" t="str">
        <f>IF($K28="","",SUMIF(Personnel_Data,$K28,'Personnel Data'!AB:AB))</f>
        <v/>
      </c>
      <c r="X28" s="430" t="str">
        <f>IF($K28="","",SUMIF(Personnel_Data,$K28,'Personnel Data'!AO:AO))</f>
        <v/>
      </c>
      <c r="Y28" s="433">
        <f t="shared" si="6"/>
        <v>0</v>
      </c>
      <c r="Z28" s="431"/>
      <c r="AA28" s="429" t="str">
        <f>IF($K28="","",SUMIF(Personnel_Data,$K28,'Personnel Data'!V:V))</f>
        <v/>
      </c>
      <c r="AB28" s="430" t="str">
        <f>IF($K28="","",SUMIF(Personnel_Data,$K28,'Personnel Data'!AC:AC))</f>
        <v/>
      </c>
      <c r="AC28" s="430" t="str">
        <f>IF($K28="","",SUMIF(Personnel_Data,$K28,'Personnel Data'!AP:AP))</f>
        <v/>
      </c>
      <c r="AD28" s="433">
        <f t="shared" si="7"/>
        <v>0</v>
      </c>
      <c r="AE28" s="431"/>
      <c r="AF28" s="429" t="str">
        <f>IF($K28="","",SUMIF(Personnel_Data,$K28,'Personnel Data'!W:W))</f>
        <v/>
      </c>
      <c r="AG28" s="430" t="str">
        <f>IF($K28="","",SUMIF(Personnel_Data,$K28,'Personnel Data'!AD:AD))</f>
        <v/>
      </c>
      <c r="AH28" s="430" t="str">
        <f>IF($K28="","",SUMIF(Personnel_Data,$K28,'Personnel Data'!AQ:AQ))</f>
        <v/>
      </c>
    </row>
    <row r="29" spans="1:41" x14ac:dyDescent="0.25">
      <c r="A29" s="354" t="s">
        <v>276</v>
      </c>
      <c r="B29" s="361" t="s">
        <v>277</v>
      </c>
      <c r="C29" s="356">
        <f>'R&amp;R Generic Detailed Budget'!L192</f>
        <v>0</v>
      </c>
      <c r="D29" s="356">
        <f>'R&amp;R Generic Detailed Budget'!M192</f>
        <v>0</v>
      </c>
      <c r="E29" s="356">
        <f>'R&amp;R Generic Detailed Budget'!N192</f>
        <v>0</v>
      </c>
      <c r="F29" s="356">
        <f>'R&amp;R Generic Detailed Budget'!O192</f>
        <v>0</v>
      </c>
      <c r="G29" s="356">
        <f>'R&amp;R Generic Detailed Budget'!P192</f>
        <v>0</v>
      </c>
      <c r="H29" s="357">
        <f t="shared" si="0"/>
        <v>0</v>
      </c>
      <c r="K29" s="459"/>
      <c r="L29" s="429" t="str">
        <f>IF($K29="","",SUMIF(Personnel_Data,$K29,'Personnel Data'!S:S))</f>
        <v/>
      </c>
      <c r="M29" s="430" t="str">
        <f>IF($K29="","",SUMIF(Personnel_Data,$K29,'Personnel Data'!Z:Z))</f>
        <v/>
      </c>
      <c r="N29" s="430" t="str">
        <f>IF($K29="","",SUMIF(Personnel_Data,$K29,'Personnel Data'!AM:AM))</f>
        <v/>
      </c>
      <c r="O29" s="430">
        <f t="shared" si="9"/>
        <v>0</v>
      </c>
      <c r="P29" s="431"/>
      <c r="Q29" s="429" t="str">
        <f>IF($K29="","",SUMIF(Personnel_Data,$K29,'Personnel Data'!T:T))</f>
        <v/>
      </c>
      <c r="R29" s="430" t="str">
        <f>IF($K29="","",SUMIF(Personnel_Data,$K29,'Personnel Data'!AA:AA))</f>
        <v/>
      </c>
      <c r="S29" s="430" t="str">
        <f>IF($K29="","",SUMIF(Personnel_Data,$K29,'Personnel Data'!AN:AN))</f>
        <v/>
      </c>
      <c r="T29" s="433">
        <f t="shared" si="10"/>
        <v>0</v>
      </c>
      <c r="U29" s="431"/>
      <c r="V29" s="429" t="str">
        <f>IF($K29="","",SUMIF(Personnel_Data,$K29,'Personnel Data'!U:U))</f>
        <v/>
      </c>
      <c r="W29" s="430" t="str">
        <f>IF($K29="","",SUMIF(Personnel_Data,$K29,'Personnel Data'!AB:AB))</f>
        <v/>
      </c>
      <c r="X29" s="430" t="str">
        <f>IF($K29="","",SUMIF(Personnel_Data,$K29,'Personnel Data'!AO:AO))</f>
        <v/>
      </c>
      <c r="Y29" s="433">
        <f t="shared" si="6"/>
        <v>0</v>
      </c>
      <c r="Z29" s="431"/>
      <c r="AA29" s="429" t="str">
        <f>IF($K29="","",SUMIF(Personnel_Data,$K29,'Personnel Data'!V:V))</f>
        <v/>
      </c>
      <c r="AB29" s="430" t="str">
        <f>IF($K29="","",SUMIF(Personnel_Data,$K29,'Personnel Data'!AC:AC))</f>
        <v/>
      </c>
      <c r="AC29" s="430" t="str">
        <f>IF($K29="","",SUMIF(Personnel_Data,$K29,'Personnel Data'!AP:AP))</f>
        <v/>
      </c>
      <c r="AD29" s="433">
        <f t="shared" si="7"/>
        <v>0</v>
      </c>
      <c r="AE29" s="431"/>
      <c r="AF29" s="429" t="str">
        <f>IF($K29="","",SUMIF(Personnel_Data,$K29,'Personnel Data'!W:W))</f>
        <v/>
      </c>
      <c r="AG29" s="430" t="str">
        <f>IF($K29="","",SUMIF(Personnel_Data,$K29,'Personnel Data'!AD:AD))</f>
        <v/>
      </c>
      <c r="AH29" s="430" t="str">
        <f>IF($K29="","",SUMIF(Personnel_Data,$K29,'Personnel Data'!AQ:AQ))</f>
        <v/>
      </c>
    </row>
    <row r="30" spans="1:41" x14ac:dyDescent="0.25">
      <c r="A30" s="366" t="s">
        <v>278</v>
      </c>
      <c r="B30" s="367" t="s">
        <v>279</v>
      </c>
      <c r="C30" s="368">
        <f>'R&amp;R Generic Detailed Budget'!L194</f>
        <v>0</v>
      </c>
      <c r="D30" s="368">
        <f>'R&amp;R Generic Detailed Budget'!M194</f>
        <v>0</v>
      </c>
      <c r="E30" s="368">
        <f>'R&amp;R Generic Detailed Budget'!N194</f>
        <v>0</v>
      </c>
      <c r="F30" s="368">
        <f>'R&amp;R Generic Detailed Budget'!O194</f>
        <v>0</v>
      </c>
      <c r="G30" s="368">
        <f>'R&amp;R Generic Detailed Budget'!P194</f>
        <v>0</v>
      </c>
      <c r="H30" s="368">
        <f>SUM(C30:G30)</f>
        <v>0</v>
      </c>
      <c r="K30" s="459"/>
      <c r="L30" s="429" t="str">
        <f>IF($K30="","",SUMIF(Personnel_Data,$K30,'Personnel Data'!S:S))</f>
        <v/>
      </c>
      <c r="M30" s="430" t="str">
        <f>IF($K30="","",SUMIF(Personnel_Data,$K30,'Personnel Data'!Z:Z))</f>
        <v/>
      </c>
      <c r="N30" s="430" t="str">
        <f>IF($K30="","",SUMIF(Personnel_Data,$K30,'Personnel Data'!AM:AM))</f>
        <v/>
      </c>
      <c r="O30" s="430">
        <f t="shared" si="9"/>
        <v>0</v>
      </c>
      <c r="P30" s="431"/>
      <c r="Q30" s="429" t="str">
        <f>IF($K30="","",SUMIF(Personnel_Data,$K30,'Personnel Data'!T:T))</f>
        <v/>
      </c>
      <c r="R30" s="430" t="str">
        <f>IF($K30="","",SUMIF(Personnel_Data,$K30,'Personnel Data'!AA:AA))</f>
        <v/>
      </c>
      <c r="S30" s="430" t="str">
        <f>IF($K30="","",SUMIF(Personnel_Data,$K30,'Personnel Data'!AN:AN))</f>
        <v/>
      </c>
      <c r="T30" s="433">
        <f t="shared" si="10"/>
        <v>0</v>
      </c>
      <c r="U30" s="431"/>
      <c r="V30" s="429" t="str">
        <f>IF($K30="","",SUMIF(Personnel_Data,$K30,'Personnel Data'!U:U))</f>
        <v/>
      </c>
      <c r="W30" s="430" t="str">
        <f>IF($K30="","",SUMIF(Personnel_Data,$K30,'Personnel Data'!AB:AB))</f>
        <v/>
      </c>
      <c r="X30" s="430" t="str">
        <f>IF($K30="","",SUMIF(Personnel_Data,$K30,'Personnel Data'!AO:AO))</f>
        <v/>
      </c>
      <c r="Y30" s="433">
        <f t="shared" si="6"/>
        <v>0</v>
      </c>
      <c r="Z30" s="431"/>
      <c r="AA30" s="429" t="str">
        <f>IF($K30="","",SUMIF(Personnel_Data,$K30,'Personnel Data'!V:V))</f>
        <v/>
      </c>
      <c r="AB30" s="430" t="str">
        <f>IF($K30="","",SUMIF(Personnel_Data,$K30,'Personnel Data'!AC:AC))</f>
        <v/>
      </c>
      <c r="AC30" s="430" t="str">
        <f>IF($K30="","",SUMIF(Personnel_Data,$K30,'Personnel Data'!AP:AP))</f>
        <v/>
      </c>
      <c r="AD30" s="433">
        <f t="shared" si="7"/>
        <v>0</v>
      </c>
      <c r="AE30" s="431"/>
      <c r="AF30" s="429" t="str">
        <f>IF($K30="","",SUMIF(Personnel_Data,$K30,'Personnel Data'!W:W))</f>
        <v/>
      </c>
      <c r="AG30" s="430" t="str">
        <f>IF($K30="","",SUMIF(Personnel_Data,$K30,'Personnel Data'!AD:AD))</f>
        <v/>
      </c>
      <c r="AH30" s="430" t="str">
        <f>IF($K30="","",SUMIF(Personnel_Data,$K30,'Personnel Data'!AQ:AQ))</f>
        <v/>
      </c>
    </row>
    <row r="31" spans="1:41" x14ac:dyDescent="0.25">
      <c r="K31" s="459"/>
      <c r="L31" s="429" t="str">
        <f>IF($K31="","",SUMIF(Personnel_Data,$K31,'Personnel Data'!S:S))</f>
        <v/>
      </c>
      <c r="M31" s="430" t="str">
        <f>IF($K31="","",SUMIF(Personnel_Data,$K31,'Personnel Data'!Z:Z))</f>
        <v/>
      </c>
      <c r="N31" s="430" t="str">
        <f>IF($K31="","",SUMIF(Personnel_Data,$K31,'Personnel Data'!AM:AM))</f>
        <v/>
      </c>
      <c r="O31" s="430">
        <f t="shared" si="9"/>
        <v>0</v>
      </c>
      <c r="P31" s="431"/>
      <c r="Q31" s="429" t="str">
        <f>IF($K31="","",SUMIF(Personnel_Data,$K31,'Personnel Data'!T:T))</f>
        <v/>
      </c>
      <c r="R31" s="430" t="str">
        <f>IF($K31="","",SUMIF(Personnel_Data,$K31,'Personnel Data'!AA:AA))</f>
        <v/>
      </c>
      <c r="S31" s="430" t="str">
        <f>IF($K31="","",SUMIF(Personnel_Data,$K31,'Personnel Data'!AN:AN))</f>
        <v/>
      </c>
      <c r="T31" s="433">
        <f t="shared" si="10"/>
        <v>0</v>
      </c>
      <c r="U31" s="431"/>
      <c r="V31" s="429" t="str">
        <f>IF($K31="","",SUMIF(Personnel_Data,$K31,'Personnel Data'!U:U))</f>
        <v/>
      </c>
      <c r="W31" s="430" t="str">
        <f>IF($K31="","",SUMIF(Personnel_Data,$K31,'Personnel Data'!AB:AB))</f>
        <v/>
      </c>
      <c r="X31" s="430" t="str">
        <f>IF($K31="","",SUMIF(Personnel_Data,$K31,'Personnel Data'!AO:AO))</f>
        <v/>
      </c>
      <c r="Y31" s="433">
        <f t="shared" si="6"/>
        <v>0</v>
      </c>
      <c r="Z31" s="431"/>
      <c r="AA31" s="429" t="str">
        <f>IF($K31="","",SUMIF(Personnel_Data,$K31,'Personnel Data'!V:V))</f>
        <v/>
      </c>
      <c r="AB31" s="430" t="str">
        <f>IF($K31="","",SUMIF(Personnel_Data,$K31,'Personnel Data'!AC:AC))</f>
        <v/>
      </c>
      <c r="AC31" s="430" t="str">
        <f>IF($K31="","",SUMIF(Personnel_Data,$K31,'Personnel Data'!AP:AP))</f>
        <v/>
      </c>
      <c r="AD31" s="433">
        <f t="shared" si="7"/>
        <v>0</v>
      </c>
      <c r="AE31" s="431"/>
      <c r="AF31" s="429" t="str">
        <f>IF($K31="","",SUMIF(Personnel_Data,$K31,'Personnel Data'!W:W))</f>
        <v/>
      </c>
      <c r="AG31" s="430" t="str">
        <f>IF($K31="","",SUMIF(Personnel_Data,$K31,'Personnel Data'!AD:AD))</f>
        <v/>
      </c>
      <c r="AH31" s="430" t="str">
        <f>IF($K31="","",SUMIF(Personnel_Data,$K31,'Personnel Data'!AQ:AQ))</f>
        <v/>
      </c>
    </row>
    <row r="32" spans="1:41" x14ac:dyDescent="0.25">
      <c r="K32" s="459"/>
      <c r="L32" s="429" t="str">
        <f>IF($K32="","",SUMIF(Personnel_Data,$K32,'Personnel Data'!S:S))</f>
        <v/>
      </c>
      <c r="M32" s="430" t="str">
        <f>IF($K32="","",SUMIF(Personnel_Data,$K32,'Personnel Data'!Z:Z))</f>
        <v/>
      </c>
      <c r="N32" s="430" t="str">
        <f>IF($K32="","",SUMIF(Personnel_Data,$K32,'Personnel Data'!AM:AM))</f>
        <v/>
      </c>
      <c r="O32" s="430">
        <f t="shared" si="9"/>
        <v>0</v>
      </c>
      <c r="P32" s="431"/>
      <c r="Q32" s="429" t="str">
        <f>IF($K32="","",SUMIF(Personnel_Data,$K32,'Personnel Data'!T:T))</f>
        <v/>
      </c>
      <c r="R32" s="430" t="str">
        <f>IF($K32="","",SUMIF(Personnel_Data,$K32,'Personnel Data'!AA:AA))</f>
        <v/>
      </c>
      <c r="S32" s="430" t="str">
        <f>IF($K32="","",SUMIF(Personnel_Data,$K32,'Personnel Data'!AN:AN))</f>
        <v/>
      </c>
      <c r="T32" s="433">
        <f t="shared" si="10"/>
        <v>0</v>
      </c>
      <c r="U32" s="431"/>
      <c r="V32" s="429" t="str">
        <f>IF($K32="","",SUMIF(Personnel_Data,$K32,'Personnel Data'!U:U))</f>
        <v/>
      </c>
      <c r="W32" s="430" t="str">
        <f>IF($K32="","",SUMIF(Personnel_Data,$K32,'Personnel Data'!AB:AB))</f>
        <v/>
      </c>
      <c r="X32" s="430" t="str">
        <f>IF($K32="","",SUMIF(Personnel_Data,$K32,'Personnel Data'!AO:AO))</f>
        <v/>
      </c>
      <c r="Y32" s="433">
        <f t="shared" si="6"/>
        <v>0</v>
      </c>
      <c r="Z32" s="431"/>
      <c r="AA32" s="429" t="str">
        <f>IF($K32="","",SUMIF(Personnel_Data,$K32,'Personnel Data'!V:V))</f>
        <v/>
      </c>
      <c r="AB32" s="430" t="str">
        <f>IF($K32="","",SUMIF(Personnel_Data,$K32,'Personnel Data'!AC:AC))</f>
        <v/>
      </c>
      <c r="AC32" s="430" t="str">
        <f>IF($K32="","",SUMIF(Personnel_Data,$K32,'Personnel Data'!AP:AP))</f>
        <v/>
      </c>
      <c r="AD32" s="433">
        <f t="shared" si="7"/>
        <v>0</v>
      </c>
      <c r="AE32" s="431"/>
      <c r="AF32" s="429" t="str">
        <f>IF($K32="","",SUMIF(Personnel_Data,$K32,'Personnel Data'!W:W))</f>
        <v/>
      </c>
      <c r="AG32" s="430" t="str">
        <f>IF($K32="","",SUMIF(Personnel_Data,$K32,'Personnel Data'!AD:AD))</f>
        <v/>
      </c>
      <c r="AH32" s="430" t="str">
        <f>IF($K32="","",SUMIF(Personnel_Data,$K32,'Personnel Data'!AQ:AQ))</f>
        <v/>
      </c>
      <c r="AO32" s="362"/>
    </row>
    <row r="33" spans="2:41" x14ac:dyDescent="0.25">
      <c r="K33" s="459"/>
      <c r="L33" s="429" t="str">
        <f>IF($K33="","",SUMIF(Personnel_Data,$K33,'Personnel Data'!S:S))</f>
        <v/>
      </c>
      <c r="M33" s="430" t="str">
        <f>IF($K33="","",SUMIF(Personnel_Data,$K33,'Personnel Data'!Z:Z))</f>
        <v/>
      </c>
      <c r="N33" s="430" t="str">
        <f>IF($K33="","",SUMIF(Personnel_Data,$K33,'Personnel Data'!AM:AM))</f>
        <v/>
      </c>
      <c r="O33" s="430">
        <f t="shared" si="9"/>
        <v>0</v>
      </c>
      <c r="P33" s="431"/>
      <c r="Q33" s="429" t="str">
        <f>IF($K33="","",SUMIF(Personnel_Data,$K33,'Personnel Data'!T:T))</f>
        <v/>
      </c>
      <c r="R33" s="430" t="str">
        <f>IF($K33="","",SUMIF(Personnel_Data,$K33,'Personnel Data'!AA:AA))</f>
        <v/>
      </c>
      <c r="S33" s="430" t="str">
        <f>IF($K33="","",SUMIF(Personnel_Data,$K33,'Personnel Data'!AN:AN))</f>
        <v/>
      </c>
      <c r="T33" s="433">
        <f t="shared" si="10"/>
        <v>0</v>
      </c>
      <c r="U33" s="431"/>
      <c r="V33" s="429" t="str">
        <f>IF($K33="","",SUMIF(Personnel_Data,$K33,'Personnel Data'!U:U))</f>
        <v/>
      </c>
      <c r="W33" s="430" t="str">
        <f>IF($K33="","",SUMIF(Personnel_Data,$K33,'Personnel Data'!AB:AB))</f>
        <v/>
      </c>
      <c r="X33" s="430" t="str">
        <f>IF($K33="","",SUMIF(Personnel_Data,$K33,'Personnel Data'!AO:AO))</f>
        <v/>
      </c>
      <c r="Y33" s="433">
        <f t="shared" si="6"/>
        <v>0</v>
      </c>
      <c r="Z33" s="431"/>
      <c r="AA33" s="429" t="str">
        <f>IF($K33="","",SUMIF(Personnel_Data,$K33,'Personnel Data'!V:V))</f>
        <v/>
      </c>
      <c r="AB33" s="430" t="str">
        <f>IF($K33="","",SUMIF(Personnel_Data,$K33,'Personnel Data'!AC:AC))</f>
        <v/>
      </c>
      <c r="AC33" s="430" t="str">
        <f>IF($K33="","",SUMIF(Personnel_Data,$K33,'Personnel Data'!AP:AP))</f>
        <v/>
      </c>
      <c r="AD33" s="433">
        <f t="shared" si="7"/>
        <v>0</v>
      </c>
      <c r="AE33" s="431"/>
      <c r="AF33" s="429" t="str">
        <f>IF($K33="","",SUMIF(Personnel_Data,$K33,'Personnel Data'!W:W))</f>
        <v/>
      </c>
      <c r="AG33" s="430" t="str">
        <f>IF($K33="","",SUMIF(Personnel_Data,$K33,'Personnel Data'!AD:AD))</f>
        <v/>
      </c>
      <c r="AH33" s="430" t="str">
        <f>IF($K33="","",SUMIF(Personnel_Data,$K33,'Personnel Data'!AQ:AQ))</f>
        <v/>
      </c>
      <c r="AO33" s="362"/>
    </row>
    <row r="34" spans="2:41" x14ac:dyDescent="0.25">
      <c r="K34" s="459"/>
      <c r="L34" s="429" t="str">
        <f>IF($K34="","",SUMIF(Personnel_Data,$K34,'Personnel Data'!S:S))</f>
        <v/>
      </c>
      <c r="M34" s="430" t="str">
        <f>IF($K34="","",SUMIF(Personnel_Data,$K34,'Personnel Data'!Z:Z))</f>
        <v/>
      </c>
      <c r="N34" s="430" t="str">
        <f>IF($K34="","",SUMIF(Personnel_Data,$K34,'Personnel Data'!AM:AM))</f>
        <v/>
      </c>
      <c r="O34" s="430">
        <f t="shared" si="9"/>
        <v>0</v>
      </c>
      <c r="P34" s="431"/>
      <c r="Q34" s="429" t="str">
        <f>IF($K34="","",SUMIF(Personnel_Data,$K34,'Personnel Data'!T:T))</f>
        <v/>
      </c>
      <c r="R34" s="430" t="str">
        <f>IF($K34="","",SUMIF(Personnel_Data,$K34,'Personnel Data'!AA:AA))</f>
        <v/>
      </c>
      <c r="S34" s="430" t="str">
        <f>IF($K34="","",SUMIF(Personnel_Data,$K34,'Personnel Data'!AN:AN))</f>
        <v/>
      </c>
      <c r="T34" s="433">
        <f t="shared" si="10"/>
        <v>0</v>
      </c>
      <c r="U34" s="431"/>
      <c r="V34" s="429" t="str">
        <f>IF($K34="","",SUMIF(Personnel_Data,$K34,'Personnel Data'!U:U))</f>
        <v/>
      </c>
      <c r="W34" s="430" t="str">
        <f>IF($K34="","",SUMIF(Personnel_Data,$K34,'Personnel Data'!AB:AB))</f>
        <v/>
      </c>
      <c r="X34" s="430" t="str">
        <f>IF($K34="","",SUMIF(Personnel_Data,$K34,'Personnel Data'!AO:AO))</f>
        <v/>
      </c>
      <c r="Y34" s="433">
        <f t="shared" si="6"/>
        <v>0</v>
      </c>
      <c r="Z34" s="431"/>
      <c r="AA34" s="429" t="str">
        <f>IF($K34="","",SUMIF(Personnel_Data,$K34,'Personnel Data'!V:V))</f>
        <v/>
      </c>
      <c r="AB34" s="430" t="str">
        <f>IF($K34="","",SUMIF(Personnel_Data,$K34,'Personnel Data'!AC:AC))</f>
        <v/>
      </c>
      <c r="AC34" s="430" t="str">
        <f>IF($K34="","",SUMIF(Personnel_Data,$K34,'Personnel Data'!AP:AP))</f>
        <v/>
      </c>
      <c r="AD34" s="433">
        <f t="shared" si="7"/>
        <v>0</v>
      </c>
      <c r="AE34" s="431"/>
      <c r="AF34" s="429" t="str">
        <f>IF($K34="","",SUMIF(Personnel_Data,$K34,'Personnel Data'!W:W))</f>
        <v/>
      </c>
      <c r="AG34" s="430" t="str">
        <f>IF($K34="","",SUMIF(Personnel_Data,$K34,'Personnel Data'!AD:AD))</f>
        <v/>
      </c>
      <c r="AH34" s="430" t="str">
        <f>IF($K34="","",SUMIF(Personnel_Data,$K34,'Personnel Data'!AQ:AQ))</f>
        <v/>
      </c>
    </row>
    <row r="35" spans="2:41" x14ac:dyDescent="0.25">
      <c r="K35" s="459"/>
      <c r="L35" s="429" t="str">
        <f>IF($K35="","",SUMIF(Personnel_Data,$K35,'Personnel Data'!S:S))</f>
        <v/>
      </c>
      <c r="M35" s="430" t="str">
        <f>IF($K35="","",SUMIF(Personnel_Data,$K35,'Personnel Data'!Z:Z))</f>
        <v/>
      </c>
      <c r="N35" s="430" t="str">
        <f>IF($K35="","",SUMIF(Personnel_Data,$K35,'Personnel Data'!AM:AM))</f>
        <v/>
      </c>
      <c r="O35" s="430">
        <f t="shared" si="9"/>
        <v>0</v>
      </c>
      <c r="P35" s="431"/>
      <c r="Q35" s="429" t="str">
        <f>IF($K35="","",SUMIF(Personnel_Data,$K35,'Personnel Data'!T:T))</f>
        <v/>
      </c>
      <c r="R35" s="430" t="str">
        <f>IF($K35="","",SUMIF(Personnel_Data,$K35,'Personnel Data'!AA:AA))</f>
        <v/>
      </c>
      <c r="S35" s="430" t="str">
        <f>IF($K35="","",SUMIF(Personnel_Data,$K35,'Personnel Data'!AN:AN))</f>
        <v/>
      </c>
      <c r="T35" s="433">
        <f t="shared" si="10"/>
        <v>0</v>
      </c>
      <c r="U35" s="431"/>
      <c r="V35" s="429" t="str">
        <f>IF($K35="","",SUMIF(Personnel_Data,$K35,'Personnel Data'!U:U))</f>
        <v/>
      </c>
      <c r="W35" s="430" t="str">
        <f>IF($K35="","",SUMIF(Personnel_Data,$K35,'Personnel Data'!AB:AB))</f>
        <v/>
      </c>
      <c r="X35" s="430" t="str">
        <f>IF($K35="","",SUMIF(Personnel_Data,$K35,'Personnel Data'!AO:AO))</f>
        <v/>
      </c>
      <c r="Y35" s="433">
        <f t="shared" si="6"/>
        <v>0</v>
      </c>
      <c r="Z35" s="431"/>
      <c r="AA35" s="429" t="str">
        <f>IF($K35="","",SUMIF(Personnel_Data,$K35,'Personnel Data'!V:V))</f>
        <v/>
      </c>
      <c r="AB35" s="430" t="str">
        <f>IF($K35="","",SUMIF(Personnel_Data,$K35,'Personnel Data'!AC:AC))</f>
        <v/>
      </c>
      <c r="AC35" s="430" t="str">
        <f>IF($K35="","",SUMIF(Personnel_Data,$K35,'Personnel Data'!AP:AP))</f>
        <v/>
      </c>
      <c r="AD35" s="433">
        <f t="shared" si="7"/>
        <v>0</v>
      </c>
      <c r="AE35" s="431"/>
      <c r="AF35" s="429" t="str">
        <f>IF($K35="","",SUMIF(Personnel_Data,$K35,'Personnel Data'!W:W))</f>
        <v/>
      </c>
      <c r="AG35" s="430" t="str">
        <f>IF($K35="","",SUMIF(Personnel_Data,$K35,'Personnel Data'!AD:AD))</f>
        <v/>
      </c>
      <c r="AH35" s="430" t="str">
        <f>IF($K35="","",SUMIF(Personnel_Data,$K35,'Personnel Data'!AQ:AQ))</f>
        <v/>
      </c>
    </row>
    <row r="36" spans="2:41" x14ac:dyDescent="0.25">
      <c r="K36" s="459"/>
      <c r="L36" s="429" t="str">
        <f>IF($K36="","",SUMIF(Personnel_Data,$K36,'Personnel Data'!S:S))</f>
        <v/>
      </c>
      <c r="M36" s="430" t="str">
        <f>IF($K36="","",SUMIF(Personnel_Data,$K36,'Personnel Data'!Z:Z))</f>
        <v/>
      </c>
      <c r="N36" s="430" t="str">
        <f>IF($K36="","",SUMIF(Personnel_Data,$K36,'Personnel Data'!AM:AM))</f>
        <v/>
      </c>
      <c r="O36" s="430">
        <f t="shared" si="9"/>
        <v>0</v>
      </c>
      <c r="P36" s="431"/>
      <c r="Q36" s="429" t="str">
        <f>IF($K36="","",SUMIF(Personnel_Data,$K36,'Personnel Data'!T:T))</f>
        <v/>
      </c>
      <c r="R36" s="430" t="str">
        <f>IF($K36="","",SUMIF(Personnel_Data,$K36,'Personnel Data'!AA:AA))</f>
        <v/>
      </c>
      <c r="S36" s="430" t="str">
        <f>IF($K36="","",SUMIF(Personnel_Data,$K36,'Personnel Data'!AN:AN))</f>
        <v/>
      </c>
      <c r="T36" s="433">
        <f t="shared" si="10"/>
        <v>0</v>
      </c>
      <c r="U36" s="431"/>
      <c r="V36" s="429" t="str">
        <f>IF($K36="","",SUMIF(Personnel_Data,$K36,'Personnel Data'!U:U))</f>
        <v/>
      </c>
      <c r="W36" s="430" t="str">
        <f>IF($K36="","",SUMIF(Personnel_Data,$K36,'Personnel Data'!AB:AB))</f>
        <v/>
      </c>
      <c r="X36" s="430" t="str">
        <f>IF($K36="","",SUMIF(Personnel_Data,$K36,'Personnel Data'!AO:AO))</f>
        <v/>
      </c>
      <c r="Y36" s="433">
        <f t="shared" si="6"/>
        <v>0</v>
      </c>
      <c r="Z36" s="431"/>
      <c r="AA36" s="429" t="str">
        <f>IF($K36="","",SUMIF(Personnel_Data,$K36,'Personnel Data'!V:V))</f>
        <v/>
      </c>
      <c r="AB36" s="430" t="str">
        <f>IF($K36="","",SUMIF(Personnel_Data,$K36,'Personnel Data'!AC:AC))</f>
        <v/>
      </c>
      <c r="AC36" s="430" t="str">
        <f>IF($K36="","",SUMIF(Personnel_Data,$K36,'Personnel Data'!AP:AP))</f>
        <v/>
      </c>
      <c r="AD36" s="433">
        <f t="shared" si="7"/>
        <v>0</v>
      </c>
      <c r="AE36" s="431"/>
      <c r="AF36" s="429" t="str">
        <f>IF($K36="","",SUMIF(Personnel_Data,$K36,'Personnel Data'!W:W))</f>
        <v/>
      </c>
      <c r="AG36" s="430" t="str">
        <f>IF($K36="","",SUMIF(Personnel_Data,$K36,'Personnel Data'!AD:AD))</f>
        <v/>
      </c>
      <c r="AH36" s="430" t="str">
        <f>IF($K36="","",SUMIF(Personnel_Data,$K36,'Personnel Data'!AQ:AQ))</f>
        <v/>
      </c>
    </row>
    <row r="37" spans="2:41" ht="24.75" x14ac:dyDescent="0.25">
      <c r="L37" s="428" t="s">
        <v>334</v>
      </c>
      <c r="M37" s="428" t="s">
        <v>335</v>
      </c>
      <c r="N37" s="428" t="s">
        <v>336</v>
      </c>
      <c r="O37" s="428" t="s">
        <v>344</v>
      </c>
      <c r="P37" s="428"/>
      <c r="Q37" s="428" t="s">
        <v>340</v>
      </c>
      <c r="R37" s="428" t="s">
        <v>341</v>
      </c>
      <c r="S37" s="428" t="s">
        <v>342</v>
      </c>
      <c r="T37" s="428" t="s">
        <v>343</v>
      </c>
      <c r="U37" s="428"/>
      <c r="V37" s="428" t="s">
        <v>345</v>
      </c>
      <c r="W37" s="428" t="s">
        <v>346</v>
      </c>
      <c r="X37" s="428" t="s">
        <v>347</v>
      </c>
      <c r="Y37" s="428" t="s">
        <v>348</v>
      </c>
      <c r="Z37" s="428"/>
      <c r="AA37" s="428" t="s">
        <v>349</v>
      </c>
      <c r="AB37" s="428" t="s">
        <v>350</v>
      </c>
      <c r="AC37" s="428" t="s">
        <v>351</v>
      </c>
      <c r="AD37" s="428" t="s">
        <v>352</v>
      </c>
      <c r="AE37" s="428"/>
      <c r="AF37" s="428" t="s">
        <v>353</v>
      </c>
      <c r="AG37" s="428" t="s">
        <v>354</v>
      </c>
      <c r="AH37" s="428" t="s">
        <v>355</v>
      </c>
      <c r="AI37" s="428" t="s">
        <v>356</v>
      </c>
    </row>
    <row r="38" spans="2:41" x14ac:dyDescent="0.25">
      <c r="K38" s="437" t="s">
        <v>357</v>
      </c>
      <c r="L38" s="426">
        <f>SUM(L9:L16)</f>
        <v>0</v>
      </c>
      <c r="M38" s="426">
        <f>SUM(M9:M16)</f>
        <v>0</v>
      </c>
      <c r="N38" s="426">
        <f>SUM(N9:N16)</f>
        <v>0</v>
      </c>
      <c r="O38" s="438">
        <f>SUM(O9:O16)</f>
        <v>0</v>
      </c>
      <c r="P38" s="421"/>
      <c r="Q38" s="426">
        <f>SUM(Q9:Q16)</f>
        <v>0</v>
      </c>
      <c r="R38" s="426">
        <f>SUM(R9:R16)</f>
        <v>0</v>
      </c>
      <c r="S38" s="426">
        <f>SUM(S9:S16)</f>
        <v>0</v>
      </c>
      <c r="T38" s="438">
        <f>SUM(T9:T16)</f>
        <v>0</v>
      </c>
      <c r="U38" s="421"/>
      <c r="V38" s="426">
        <f>SUM(V9:V16)</f>
        <v>0</v>
      </c>
      <c r="W38" s="426">
        <f>SUM(W9:W16)</f>
        <v>0</v>
      </c>
      <c r="X38" s="426">
        <f>SUM(X9:X16)</f>
        <v>0</v>
      </c>
      <c r="Y38" s="438">
        <f>SUM(Y9:Y16)</f>
        <v>0</v>
      </c>
      <c r="Z38" s="421"/>
      <c r="AA38" s="426">
        <f>SUM(AA9:AA16)</f>
        <v>0</v>
      </c>
      <c r="AB38" s="426">
        <f>SUM(AB9:AB16)</f>
        <v>0</v>
      </c>
      <c r="AC38" s="426">
        <f>SUM(AC9:AC16)</f>
        <v>0</v>
      </c>
      <c r="AD38" s="438">
        <f>SUM(AD9:AD16)</f>
        <v>0</v>
      </c>
      <c r="AE38" s="421"/>
      <c r="AF38" s="426">
        <f>SUM(AF9:AF16)</f>
        <v>0</v>
      </c>
      <c r="AG38" s="426">
        <f>SUM(AG9:AG16)</f>
        <v>0</v>
      </c>
      <c r="AH38" s="426">
        <f>SUM(AH9:AH16)</f>
        <v>0</v>
      </c>
      <c r="AI38" s="438">
        <f>SUM(AI9:AI16)</f>
        <v>0</v>
      </c>
      <c r="AJ38" s="421"/>
      <c r="AK38" s="438">
        <f>O38+T38+Y38+AD38+AI38</f>
        <v>0</v>
      </c>
    </row>
    <row r="39" spans="2:41" x14ac:dyDescent="0.25">
      <c r="K39" s="437" t="s">
        <v>359</v>
      </c>
      <c r="L39" s="426">
        <f t="shared" ref="L39:AI39" si="11">SUM(L19:L36)</f>
        <v>0</v>
      </c>
      <c r="M39" s="426">
        <f t="shared" ca="1" si="11"/>
        <v>0</v>
      </c>
      <c r="N39" s="426">
        <f t="shared" si="11"/>
        <v>0</v>
      </c>
      <c r="O39" s="438">
        <f t="shared" ca="1" si="11"/>
        <v>0</v>
      </c>
      <c r="P39" s="426">
        <f t="shared" si="11"/>
        <v>0</v>
      </c>
      <c r="Q39" s="426">
        <f t="shared" si="11"/>
        <v>0</v>
      </c>
      <c r="R39" s="426">
        <f t="shared" si="11"/>
        <v>0</v>
      </c>
      <c r="S39" s="426">
        <f t="shared" si="11"/>
        <v>0</v>
      </c>
      <c r="T39" s="438">
        <f t="shared" si="11"/>
        <v>0</v>
      </c>
      <c r="U39" s="426">
        <f t="shared" si="11"/>
        <v>0</v>
      </c>
      <c r="V39" s="426">
        <f t="shared" si="11"/>
        <v>0</v>
      </c>
      <c r="W39" s="426">
        <f t="shared" si="11"/>
        <v>0</v>
      </c>
      <c r="X39" s="426">
        <f t="shared" si="11"/>
        <v>0</v>
      </c>
      <c r="Y39" s="438">
        <f t="shared" si="11"/>
        <v>0</v>
      </c>
      <c r="Z39" s="426">
        <f t="shared" si="11"/>
        <v>0</v>
      </c>
      <c r="AA39" s="426">
        <f t="shared" si="11"/>
        <v>0</v>
      </c>
      <c r="AB39" s="426">
        <f t="shared" si="11"/>
        <v>0</v>
      </c>
      <c r="AC39" s="426">
        <f t="shared" si="11"/>
        <v>0</v>
      </c>
      <c r="AD39" s="438">
        <f t="shared" si="11"/>
        <v>0</v>
      </c>
      <c r="AE39" s="426">
        <f t="shared" si="11"/>
        <v>0</v>
      </c>
      <c r="AF39" s="426">
        <f t="shared" si="11"/>
        <v>0</v>
      </c>
      <c r="AG39" s="426">
        <f t="shared" si="11"/>
        <v>0</v>
      </c>
      <c r="AH39" s="426">
        <f t="shared" si="11"/>
        <v>0</v>
      </c>
      <c r="AI39" s="438">
        <f t="shared" si="11"/>
        <v>0</v>
      </c>
      <c r="AJ39" s="426"/>
      <c r="AK39" s="438">
        <f ca="1">O39+T39+Y39+AD39+AI39</f>
        <v>0</v>
      </c>
    </row>
    <row r="40" spans="2:41" x14ac:dyDescent="0.25">
      <c r="K40" s="437" t="s">
        <v>367</v>
      </c>
      <c r="L40" s="426">
        <f>L38+L39</f>
        <v>0</v>
      </c>
      <c r="M40" s="426">
        <f ca="1">M38+M39</f>
        <v>0</v>
      </c>
      <c r="N40" s="426">
        <f>N38+N39</f>
        <v>0</v>
      </c>
      <c r="O40" s="438">
        <f ca="1">O38+O39</f>
        <v>0</v>
      </c>
      <c r="P40" s="426"/>
      <c r="Q40" s="426">
        <f>Q38+Q39</f>
        <v>0</v>
      </c>
      <c r="R40" s="426">
        <f>R38+R39</f>
        <v>0</v>
      </c>
      <c r="S40" s="426">
        <f>S38+S39</f>
        <v>0</v>
      </c>
      <c r="T40" s="438">
        <f>T38+T39</f>
        <v>0</v>
      </c>
      <c r="U40" s="426"/>
      <c r="V40" s="426">
        <f>V38+V39</f>
        <v>0</v>
      </c>
      <c r="W40" s="426">
        <f>W38+W39</f>
        <v>0</v>
      </c>
      <c r="X40" s="426">
        <f>X38+X39</f>
        <v>0</v>
      </c>
      <c r="Y40" s="438">
        <f>Y38+Y39</f>
        <v>0</v>
      </c>
      <c r="Z40" s="426"/>
      <c r="AA40" s="426">
        <f>AA38+AA39</f>
        <v>0</v>
      </c>
      <c r="AB40" s="426">
        <f>AB38+AB39</f>
        <v>0</v>
      </c>
      <c r="AC40" s="426">
        <f>AC38+AC39</f>
        <v>0</v>
      </c>
      <c r="AD40" s="438">
        <f>AD38+AD39</f>
        <v>0</v>
      </c>
      <c r="AE40" s="426"/>
      <c r="AF40" s="426">
        <f>AF38+AF39</f>
        <v>0</v>
      </c>
      <c r="AG40" s="426">
        <f>AG38+AG39</f>
        <v>0</v>
      </c>
      <c r="AH40" s="426">
        <f>AH38+AH39</f>
        <v>0</v>
      </c>
      <c r="AI40" s="438">
        <f>AI38+AI39</f>
        <v>0</v>
      </c>
      <c r="AJ40" s="426"/>
      <c r="AK40" s="438">
        <f ca="1">O40+T40+Y40+AD40+AI40</f>
        <v>0</v>
      </c>
    </row>
    <row r="41" spans="2:41" x14ac:dyDescent="0.25">
      <c r="K41" s="436"/>
      <c r="L41" s="422"/>
      <c r="M41" s="422"/>
      <c r="N41" s="422"/>
      <c r="O41" s="422"/>
    </row>
    <row r="42" spans="2:41" x14ac:dyDescent="0.25">
      <c r="K42" s="436"/>
      <c r="L42" s="422"/>
      <c r="M42" s="422"/>
      <c r="N42" s="439" t="s">
        <v>374</v>
      </c>
      <c r="O42" s="422">
        <f>'R&amp;R Generic Detailed Budget'!L88</f>
        <v>0</v>
      </c>
      <c r="S42" s="439" t="s">
        <v>374</v>
      </c>
      <c r="T42" s="422">
        <f>'R&amp;R Generic Detailed Budget'!M88</f>
        <v>0</v>
      </c>
      <c r="X42" s="439" t="s">
        <v>374</v>
      </c>
      <c r="Y42" s="422">
        <f>'R&amp;R Generic Detailed Budget'!N88</f>
        <v>0</v>
      </c>
      <c r="AC42" s="439" t="s">
        <v>374</v>
      </c>
      <c r="AD42" s="422">
        <f>'R&amp;R Generic Detailed Budget'!O88</f>
        <v>0</v>
      </c>
      <c r="AH42" s="439" t="s">
        <v>374</v>
      </c>
      <c r="AI42" s="422">
        <f>'R&amp;R Generic Detailed Budget'!P88</f>
        <v>0</v>
      </c>
      <c r="AK42" s="422">
        <f>'R&amp;R Generic Detailed Budget'!Q88</f>
        <v>0</v>
      </c>
    </row>
    <row r="43" spans="2:41" x14ac:dyDescent="0.25">
      <c r="K43" s="436"/>
      <c r="L43" s="422"/>
      <c r="M43" s="422"/>
      <c r="N43" s="439" t="s">
        <v>375</v>
      </c>
      <c r="O43" s="422">
        <f>'R&amp;R Generic Detailed Budget'!L89</f>
        <v>0</v>
      </c>
      <c r="S43" s="439" t="s">
        <v>375</v>
      </c>
      <c r="T43" s="422">
        <f>'R&amp;R Generic Detailed Budget'!M89</f>
        <v>0</v>
      </c>
      <c r="X43" s="439" t="s">
        <v>375</v>
      </c>
      <c r="Y43" s="422">
        <f>'R&amp;R Generic Detailed Budget'!N89</f>
        <v>0</v>
      </c>
      <c r="AC43" s="439" t="s">
        <v>375</v>
      </c>
      <c r="AD43" s="422">
        <f>'R&amp;R Generic Detailed Budget'!O89</f>
        <v>0</v>
      </c>
      <c r="AH43" s="439" t="s">
        <v>375</v>
      </c>
      <c r="AI43" s="422">
        <f>'R&amp;R Generic Detailed Budget'!P89</f>
        <v>0</v>
      </c>
      <c r="AK43" s="422">
        <f>'R&amp;R Generic Detailed Budget'!Q89</f>
        <v>0</v>
      </c>
    </row>
    <row r="44" spans="2:41" x14ac:dyDescent="0.25">
      <c r="N44" s="439" t="s">
        <v>376</v>
      </c>
      <c r="O44" s="422">
        <f>'R&amp;R Generic Detailed Budget'!L90</f>
        <v>0</v>
      </c>
      <c r="S44" s="439" t="s">
        <v>376</v>
      </c>
      <c r="T44" s="422">
        <f>'R&amp;R Generic Detailed Budget'!M90</f>
        <v>0</v>
      </c>
      <c r="X44" s="439" t="s">
        <v>376</v>
      </c>
      <c r="Y44" s="422">
        <f>'R&amp;R Generic Detailed Budget'!N90</f>
        <v>0</v>
      </c>
      <c r="AC44" s="439" t="s">
        <v>376</v>
      </c>
      <c r="AD44" s="422">
        <f>'R&amp;R Generic Detailed Budget'!O90</f>
        <v>0</v>
      </c>
      <c r="AH44" s="439" t="s">
        <v>376</v>
      </c>
      <c r="AI44" s="422">
        <f>'R&amp;R Generic Detailed Budget'!P90</f>
        <v>0</v>
      </c>
      <c r="AK44" s="422">
        <f>'R&amp;R Generic Detailed Budget'!Q90</f>
        <v>0</v>
      </c>
    </row>
    <row r="45" spans="2:41" x14ac:dyDescent="0.25">
      <c r="R45" s="430"/>
      <c r="S45" s="430"/>
      <c r="T45" s="430"/>
      <c r="U45" s="430"/>
      <c r="V45" s="430"/>
      <c r="W45" s="430"/>
    </row>
    <row r="46" spans="2:41" x14ac:dyDescent="0.25">
      <c r="B46" s="419" t="str">
        <f>'Personnel Data'!A16</f>
        <v/>
      </c>
      <c r="N46" s="439" t="s">
        <v>377</v>
      </c>
      <c r="O46" s="433">
        <f>O38-O42</f>
        <v>0</v>
      </c>
      <c r="R46" s="430"/>
      <c r="S46" s="439" t="s">
        <v>377</v>
      </c>
      <c r="T46" s="433">
        <f>T38-T42</f>
        <v>0</v>
      </c>
      <c r="U46" s="430"/>
      <c r="V46" s="430"/>
      <c r="W46" s="430"/>
      <c r="X46" s="439" t="s">
        <v>377</v>
      </c>
      <c r="Y46" s="433">
        <f>Y38-Y42</f>
        <v>0</v>
      </c>
      <c r="AC46" s="439" t="s">
        <v>377</v>
      </c>
      <c r="AD46" s="433">
        <f>AD38-AD42</f>
        <v>0</v>
      </c>
      <c r="AH46" s="439" t="s">
        <v>377</v>
      </c>
      <c r="AI46" s="433">
        <f>AI38-AI42</f>
        <v>0</v>
      </c>
      <c r="AK46" s="433">
        <f>AK38-AK42</f>
        <v>0</v>
      </c>
    </row>
    <row r="47" spans="2:41" x14ac:dyDescent="0.25">
      <c r="B47" s="419" t="str">
        <f>'Personnel Data'!A17</f>
        <v/>
      </c>
      <c r="N47" s="439" t="s">
        <v>377</v>
      </c>
      <c r="O47" s="433">
        <f ca="1">O39-O43</f>
        <v>0</v>
      </c>
      <c r="R47" s="430"/>
      <c r="S47" s="439" t="s">
        <v>377</v>
      </c>
      <c r="T47" s="433">
        <f>T39-T43</f>
        <v>0</v>
      </c>
      <c r="U47" s="430"/>
      <c r="V47" s="430"/>
      <c r="W47" s="430"/>
      <c r="X47" s="439" t="s">
        <v>377</v>
      </c>
      <c r="Y47" s="433">
        <f>Y39-Y43</f>
        <v>0</v>
      </c>
      <c r="AC47" s="439" t="s">
        <v>377</v>
      </c>
      <c r="AD47" s="433">
        <f>AD39-AD43</f>
        <v>0</v>
      </c>
      <c r="AH47" s="439" t="s">
        <v>377</v>
      </c>
      <c r="AI47" s="433">
        <f t="shared" ref="AI47:AK48" si="12">AI39-AI43</f>
        <v>0</v>
      </c>
      <c r="AK47" s="433">
        <f t="shared" ca="1" si="12"/>
        <v>0</v>
      </c>
    </row>
    <row r="48" spans="2:41" x14ac:dyDescent="0.25">
      <c r="B48" s="419" t="str">
        <f>'Personnel Data'!A18</f>
        <v/>
      </c>
      <c r="N48" s="439" t="s">
        <v>377</v>
      </c>
      <c r="O48" s="433">
        <f ca="1">O40-O44</f>
        <v>0</v>
      </c>
      <c r="S48" s="439" t="s">
        <v>377</v>
      </c>
      <c r="T48" s="433">
        <f>T40-T44</f>
        <v>0</v>
      </c>
      <c r="X48" s="439" t="s">
        <v>377</v>
      </c>
      <c r="Y48" s="433">
        <f>Y40-Y44</f>
        <v>0</v>
      </c>
      <c r="AC48" s="439" t="s">
        <v>377</v>
      </c>
      <c r="AD48" s="433">
        <f>AD40-AD44</f>
        <v>0</v>
      </c>
      <c r="AH48" s="439" t="s">
        <v>377</v>
      </c>
      <c r="AI48" s="433">
        <f t="shared" si="12"/>
        <v>0</v>
      </c>
      <c r="AK48" s="433">
        <f t="shared" ca="1" si="12"/>
        <v>0</v>
      </c>
    </row>
  </sheetData>
  <mergeCells count="6">
    <mergeCell ref="K7:O7"/>
    <mergeCell ref="C3:G3"/>
    <mergeCell ref="C4:G4"/>
    <mergeCell ref="A6:A7"/>
    <mergeCell ref="B6:B7"/>
    <mergeCell ref="H6:H7"/>
  </mergeCells>
  <phoneticPr fontId="39" type="noConversion"/>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20A33-589C-46D9-B4B4-6388177958B9}">
  <sheetPr>
    <tabColor rgb="FFCCFFCC"/>
  </sheetPr>
  <dimension ref="A1:AZ51"/>
  <sheetViews>
    <sheetView workbookViewId="0">
      <selection activeCell="T22" sqref="T22"/>
    </sheetView>
  </sheetViews>
  <sheetFormatPr defaultColWidth="8.7109375" defaultRowHeight="12" x14ac:dyDescent="0.2"/>
  <cols>
    <col min="1" max="1" width="16.7109375" style="392" customWidth="1"/>
    <col min="2" max="2" width="19.5703125" style="392" customWidth="1"/>
    <col min="3" max="3" width="33.140625" style="392" customWidth="1"/>
    <col min="4" max="4" width="15.5703125" style="389" customWidth="1"/>
    <col min="5" max="5" width="10.5703125" style="389" customWidth="1"/>
    <col min="6" max="6" width="1.85546875" style="389" customWidth="1"/>
    <col min="7" max="11" width="8.7109375" style="389" customWidth="1"/>
    <col min="12" max="12" width="1.42578125" style="389" customWidth="1"/>
    <col min="13" max="17" width="8.7109375" style="389"/>
    <col min="18" max="18" width="1.42578125" style="389" customWidth="1"/>
    <col min="19" max="19" width="10.28515625" style="389" customWidth="1"/>
    <col min="20" max="24" width="8.7109375" style="389"/>
    <col min="25" max="25" width="0.85546875" style="389" customWidth="1"/>
    <col min="26" max="26" width="10.28515625" style="389" customWidth="1"/>
    <col min="27" max="31" width="8.7109375" style="389"/>
    <col min="32" max="32" width="0.5703125" style="389" customWidth="1"/>
    <col min="33" max="36" width="8.7109375" style="389" customWidth="1"/>
    <col min="37" max="37" width="6.7109375" style="389" customWidth="1"/>
    <col min="38" max="38" width="1.85546875" style="389" customWidth="1"/>
    <col min="39" max="43" width="8.7109375" style="389"/>
    <col min="44" max="44" width="9.42578125" style="389" bestFit="1" customWidth="1"/>
    <col min="45" max="45" width="0.5703125" style="389" customWidth="1"/>
    <col min="46" max="16384" width="8.7109375" style="389"/>
  </cols>
  <sheetData>
    <row r="1" spans="1:45" s="394" customFormat="1" ht="33.75" x14ac:dyDescent="0.2">
      <c r="A1" s="408" t="s">
        <v>284</v>
      </c>
      <c r="B1" s="408" t="s">
        <v>230</v>
      </c>
      <c r="C1" s="408" t="s">
        <v>171</v>
      </c>
      <c r="D1" s="408" t="s">
        <v>303</v>
      </c>
      <c r="E1" s="409" t="s">
        <v>235</v>
      </c>
      <c r="F1" s="409"/>
      <c r="G1" s="410" t="s">
        <v>306</v>
      </c>
      <c r="H1" s="410" t="s">
        <v>307</v>
      </c>
      <c r="I1" s="410" t="s">
        <v>308</v>
      </c>
      <c r="J1" s="410" t="s">
        <v>309</v>
      </c>
      <c r="K1" s="410" t="s">
        <v>310</v>
      </c>
      <c r="L1" s="409"/>
      <c r="M1" s="409" t="s">
        <v>285</v>
      </c>
      <c r="N1" s="409" t="s">
        <v>286</v>
      </c>
      <c r="O1" s="409" t="s">
        <v>287</v>
      </c>
      <c r="P1" s="409" t="s">
        <v>288</v>
      </c>
      <c r="Q1" s="409" t="s">
        <v>289</v>
      </c>
      <c r="R1" s="409"/>
      <c r="S1" s="409" t="s">
        <v>360</v>
      </c>
      <c r="T1" s="409" t="s">
        <v>361</v>
      </c>
      <c r="U1" s="409" t="s">
        <v>362</v>
      </c>
      <c r="V1" s="409" t="s">
        <v>363</v>
      </c>
      <c r="W1" s="409" t="s">
        <v>364</v>
      </c>
      <c r="X1" s="409" t="s">
        <v>365</v>
      </c>
      <c r="Y1" s="409"/>
      <c r="Z1" s="409" t="s">
        <v>311</v>
      </c>
      <c r="AA1" s="409" t="s">
        <v>312</v>
      </c>
      <c r="AB1" s="409" t="s">
        <v>313</v>
      </c>
      <c r="AC1" s="409" t="s">
        <v>314</v>
      </c>
      <c r="AD1" s="409" t="s">
        <v>315</v>
      </c>
      <c r="AE1" s="409" t="s">
        <v>331</v>
      </c>
      <c r="AF1" s="409"/>
      <c r="AG1" s="409" t="s">
        <v>317</v>
      </c>
      <c r="AH1" s="409" t="s">
        <v>318</v>
      </c>
      <c r="AI1" s="409" t="s">
        <v>319</v>
      </c>
      <c r="AJ1" s="409" t="s">
        <v>320</v>
      </c>
      <c r="AK1" s="409" t="s">
        <v>321</v>
      </c>
      <c r="AL1" s="409"/>
      <c r="AM1" s="410" t="s">
        <v>316</v>
      </c>
      <c r="AN1" s="410" t="s">
        <v>322</v>
      </c>
      <c r="AO1" s="410" t="s">
        <v>323</v>
      </c>
      <c r="AP1" s="410" t="s">
        <v>324</v>
      </c>
      <c r="AQ1" s="410" t="s">
        <v>325</v>
      </c>
      <c r="AR1" s="410" t="s">
        <v>329</v>
      </c>
      <c r="AS1" s="409"/>
    </row>
    <row r="2" spans="1:45" ht="10.5" customHeight="1" x14ac:dyDescent="0.2">
      <c r="A2" s="405">
        <v>1</v>
      </c>
      <c r="B2" s="405">
        <v>2</v>
      </c>
      <c r="C2" s="405">
        <v>3</v>
      </c>
      <c r="D2" s="405">
        <v>4</v>
      </c>
      <c r="E2" s="405">
        <v>5</v>
      </c>
      <c r="F2" s="405">
        <v>6</v>
      </c>
      <c r="G2" s="405">
        <v>7</v>
      </c>
      <c r="H2" s="405">
        <v>8</v>
      </c>
      <c r="I2" s="405">
        <v>9</v>
      </c>
      <c r="J2" s="405">
        <v>10</v>
      </c>
      <c r="K2" s="405">
        <v>11</v>
      </c>
      <c r="L2" s="405">
        <v>12</v>
      </c>
      <c r="M2" s="405">
        <v>13</v>
      </c>
      <c r="N2" s="405">
        <v>14</v>
      </c>
      <c r="O2" s="405">
        <v>15</v>
      </c>
      <c r="P2" s="405">
        <v>16</v>
      </c>
      <c r="Q2" s="405">
        <v>17</v>
      </c>
      <c r="R2" s="405">
        <v>18</v>
      </c>
      <c r="S2" s="405">
        <v>19</v>
      </c>
      <c r="T2" s="405">
        <v>20</v>
      </c>
      <c r="U2" s="405">
        <v>21</v>
      </c>
      <c r="V2" s="405">
        <v>22</v>
      </c>
      <c r="W2" s="405">
        <v>23</v>
      </c>
      <c r="X2" s="405">
        <v>24</v>
      </c>
      <c r="Y2" s="405">
        <v>25</v>
      </c>
      <c r="Z2" s="405">
        <v>26</v>
      </c>
      <c r="AA2" s="405">
        <v>27</v>
      </c>
      <c r="AB2" s="405">
        <v>28</v>
      </c>
      <c r="AC2" s="405">
        <v>29</v>
      </c>
      <c r="AD2" s="405">
        <v>30</v>
      </c>
      <c r="AE2" s="405">
        <v>31</v>
      </c>
      <c r="AF2" s="405">
        <v>32</v>
      </c>
      <c r="AG2" s="405">
        <v>33</v>
      </c>
      <c r="AH2" s="405">
        <v>34</v>
      </c>
      <c r="AI2" s="405">
        <v>35</v>
      </c>
      <c r="AJ2" s="405">
        <v>36</v>
      </c>
      <c r="AK2" s="405">
        <v>37</v>
      </c>
      <c r="AL2" s="405">
        <v>38</v>
      </c>
      <c r="AM2" s="405">
        <v>39</v>
      </c>
      <c r="AN2" s="405">
        <v>40</v>
      </c>
      <c r="AO2" s="405">
        <v>41</v>
      </c>
      <c r="AP2" s="405">
        <v>42</v>
      </c>
      <c r="AQ2" s="405">
        <v>43</v>
      </c>
      <c r="AR2" s="405">
        <v>44</v>
      </c>
      <c r="AS2" s="405">
        <v>31</v>
      </c>
    </row>
    <row r="3" spans="1:45" s="391" customFormat="1" x14ac:dyDescent="0.2">
      <c r="A3" s="390" t="s">
        <v>290</v>
      </c>
      <c r="B3" s="390"/>
      <c r="C3" s="390"/>
      <c r="D3" s="390"/>
      <c r="E3" s="390"/>
      <c r="F3" s="390"/>
      <c r="G3" s="390"/>
      <c r="H3" s="390"/>
      <c r="I3" s="390"/>
      <c r="J3" s="390"/>
      <c r="K3" s="390"/>
      <c r="L3" s="390"/>
      <c r="M3" s="390"/>
      <c r="N3" s="390"/>
      <c r="O3" s="390"/>
      <c r="P3" s="390"/>
      <c r="Q3" s="390"/>
      <c r="R3" s="390"/>
      <c r="S3" s="390"/>
      <c r="T3" s="390"/>
      <c r="U3" s="390"/>
      <c r="V3" s="390"/>
      <c r="W3" s="390"/>
      <c r="X3" s="390"/>
      <c r="Y3" s="390"/>
      <c r="Z3" s="390"/>
      <c r="AA3" s="390"/>
      <c r="AB3" s="390"/>
      <c r="AC3" s="390"/>
      <c r="AD3" s="390"/>
      <c r="AE3" s="390"/>
      <c r="AF3" s="390"/>
      <c r="AG3" s="390"/>
      <c r="AH3" s="390"/>
      <c r="AI3" s="390"/>
      <c r="AJ3" s="390"/>
      <c r="AK3" s="390"/>
      <c r="AL3" s="390"/>
      <c r="AM3" s="390"/>
      <c r="AN3" s="390"/>
      <c r="AO3" s="390"/>
      <c r="AP3" s="390"/>
      <c r="AQ3" s="390"/>
      <c r="AR3" s="390"/>
      <c r="AS3" s="390"/>
    </row>
    <row r="4" spans="1:45" s="394" customFormat="1" ht="11.25" x14ac:dyDescent="0.2">
      <c r="A4" s="398" t="str">
        <f>IF(ISBLANK('R&amp;R Generic Detailed Budget'!B13),"",'R&amp;R Generic Detailed Budget'!B13)</f>
        <v/>
      </c>
      <c r="B4" s="399">
        <f>IFERROR(VLOOKUP($A4,'R&amp;R Generic Detailed Budget'!$B$13:$D$52, 2, FALSE),0)</f>
        <v>0</v>
      </c>
      <c r="C4" s="399">
        <f>IFERROR(VLOOKUP($A4,'R&amp;R Generic Detailed Budget'!$B$13:$D$52, 3, FALSE),0)</f>
        <v>0</v>
      </c>
      <c r="D4" s="401">
        <f>IFERROR(VLOOKUP($C4,EmployeeClass, 2, FALSE),0)</f>
        <v>0</v>
      </c>
      <c r="E4" s="400">
        <f t="shared" ref="E4:E19" si="0">IFERROR(VLOOKUP($C4,EmployeeClass, 4, FALSE),0)</f>
        <v>0</v>
      </c>
      <c r="F4" s="425"/>
      <c r="G4" s="412" t="str">
        <f>IF(ISBLANK('R&amp;R Generic Detailed Budget'!$E13),"0",'R&amp;R Generic Detailed Budget'!$E13)</f>
        <v>0</v>
      </c>
      <c r="H4" s="412">
        <f>IF('R&amp;R Generic Detailed Budget'!$A$1&gt;1,ROUND((G4*'R&amp;R Generic Detailed Budget'!$V$15),0),0)</f>
        <v>0</v>
      </c>
      <c r="I4" s="412">
        <f>IF('R&amp;R Generic Detailed Budget'!$A$1&gt;2,ROUND((H4*'R&amp;R Generic Detailed Budget'!$V$15),0),0)</f>
        <v>0</v>
      </c>
      <c r="J4" s="412">
        <f>IF('R&amp;R Generic Detailed Budget'!$A$1&gt;3,ROUND((I4*'R&amp;R Generic Detailed Budget'!$V$15),0),0)</f>
        <v>0</v>
      </c>
      <c r="K4" s="412">
        <f>IF('R&amp;R Generic Detailed Budget'!$A$1&gt;4,ROUND((J4*'R&amp;R Generic Detailed Budget'!$V$15),0),0)</f>
        <v>0</v>
      </c>
      <c r="L4" s="406"/>
      <c r="M4" s="402" t="str">
        <f>IF(ISBLANK('R&amp;R Generic Detailed Budget'!$F13),"",'R&amp;R Generic Detailed Budget'!$F13)</f>
        <v/>
      </c>
      <c r="N4" s="402" t="str">
        <f>IF(ISBLANK('R&amp;R Generic Detailed Budget'!$G13),"",'R&amp;R Generic Detailed Budget'!$G13)</f>
        <v/>
      </c>
      <c r="O4" s="402" t="str">
        <f>IF(ISBLANK('R&amp;R Generic Detailed Budget'!$H13),"",'R&amp;R Generic Detailed Budget'!$H13)</f>
        <v/>
      </c>
      <c r="P4" s="402" t="str">
        <f>IF(ISBLANK('R&amp;R Generic Detailed Budget'!$I13),"",'R&amp;R Generic Detailed Budget'!$I13)</f>
        <v/>
      </c>
      <c r="Q4" s="402" t="str">
        <f>IF(ISBLANK('R&amp;R Generic Detailed Budget'!$J13),"",'R&amp;R Generic Detailed Budget'!$J13)</f>
        <v/>
      </c>
      <c r="R4" s="406"/>
      <c r="S4" s="417" t="str">
        <f>IFERROR($E4*M4,"")</f>
        <v/>
      </c>
      <c r="T4" s="417" t="str">
        <f>IFERROR($E4*N4,"")</f>
        <v/>
      </c>
      <c r="U4" s="417" t="str">
        <f>IFERROR($E4*O4,"")</f>
        <v/>
      </c>
      <c r="V4" s="417" t="str">
        <f>IFERROR($E4*P4,"")</f>
        <v/>
      </c>
      <c r="W4" s="417" t="str">
        <f>IFERROR($E4*Q4,"")</f>
        <v/>
      </c>
      <c r="X4" s="417">
        <f>SUM(S4:W4)</f>
        <v>0</v>
      </c>
      <c r="Y4" s="406"/>
      <c r="Z4" s="412">
        <f>IF(ISBLANK('R&amp;R Generic Detailed Budget'!$L13),"",'R&amp;R Generic Detailed Budget'!$L13)</f>
        <v>0</v>
      </c>
      <c r="AA4" s="412">
        <f>IF(ISBLANK('R&amp;R Generic Detailed Budget'!$M13),"",'R&amp;R Generic Detailed Budget'!$M13)</f>
        <v>0</v>
      </c>
      <c r="AB4" s="412">
        <f>IF(ISBLANK('R&amp;R Generic Detailed Budget'!$N13),"",'R&amp;R Generic Detailed Budget'!$N13)</f>
        <v>0</v>
      </c>
      <c r="AC4" s="412">
        <f>IF(ISBLANK('R&amp;R Generic Detailed Budget'!$O13),"",'R&amp;R Generic Detailed Budget'!$O13)</f>
        <v>0</v>
      </c>
      <c r="AD4" s="412">
        <f>IF(ISBLANK('R&amp;R Generic Detailed Budget'!$P13),"",'R&amp;R Generic Detailed Budget'!$P13)</f>
        <v>0</v>
      </c>
      <c r="AE4" s="414">
        <f>SUM(Z4:AD4)</f>
        <v>0</v>
      </c>
      <c r="AF4" s="406"/>
      <c r="AG4" s="404" t="str">
        <f t="shared" ref="AG4:AG19" si="1">IF($A4="","",VLOOKUP($D4,OPE_Rates,2,FALSE))</f>
        <v/>
      </c>
      <c r="AH4" s="404" t="str">
        <f>IF('R&amp;R Generic Detailed Budget'!$A$1&gt;1,IF($A4="","",VLOOKUP($D4,OPE_Rates,3,FALSE)),0)</f>
        <v/>
      </c>
      <c r="AI4" s="404" t="str">
        <f>IF('R&amp;R Generic Detailed Budget'!$A$1&gt;2,IF($A4="","",VLOOKUP($D4,OPE_Rates,4,FALSE)),0)</f>
        <v/>
      </c>
      <c r="AJ4" s="404" t="str">
        <f>IF('R&amp;R Generic Detailed Budget'!$A$1&gt;3,IF($A4="","",VLOOKUP($D4,OPE_Rates,5,FALSE)),"")</f>
        <v/>
      </c>
      <c r="AK4" s="404" t="str">
        <f>IF('R&amp;R Generic Detailed Budget'!$A$1&gt;3,IF($A4="","",VLOOKUP($D4,OPE_Rates,6,FALSE)),"")</f>
        <v/>
      </c>
      <c r="AL4" s="406"/>
      <c r="AM4" s="412" t="str">
        <f>IFERROR(ROUND(IF(AG4="","",Z4*AG4),0),"")</f>
        <v/>
      </c>
      <c r="AN4" s="412" t="str">
        <f>IFERROR(ROUND(IF(AH4="","",AA4*AH4),0),"")</f>
        <v/>
      </c>
      <c r="AO4" s="412" t="str">
        <f>IFERROR(ROUND(IF(AI4="","",AB4*AI4),0),"")</f>
        <v/>
      </c>
      <c r="AP4" s="412" t="str">
        <f>IFERROR(ROUND(IF(AJ4="","",AC4*AJ4),0),"")</f>
        <v/>
      </c>
      <c r="AQ4" s="412" t="str">
        <f>IFERROR(ROUND(IF(AK4="","",AD4*AK4),0),"")</f>
        <v/>
      </c>
      <c r="AR4" s="414">
        <f>SUM(AM4:AQ4)</f>
        <v>0</v>
      </c>
      <c r="AS4" s="406"/>
    </row>
    <row r="5" spans="1:45" s="394" customFormat="1" ht="11.25" x14ac:dyDescent="0.2">
      <c r="A5" s="398" t="str">
        <f>IF(ISBLANK('R&amp;R Generic Detailed Budget'!B14),"",'R&amp;R Generic Detailed Budget'!B14)</f>
        <v/>
      </c>
      <c r="B5" s="399">
        <f>IFERROR(VLOOKUP($A5,'R&amp;R Generic Detailed Budget'!$B$13:$D$52, 2, FALSE),0)</f>
        <v>0</v>
      </c>
      <c r="C5" s="399">
        <f>IFERROR(VLOOKUP($A5,'R&amp;R Generic Detailed Budget'!$B$13:$D$52, 3, FALSE),0)</f>
        <v>0</v>
      </c>
      <c r="D5" s="401">
        <f t="shared" ref="D5:D19" si="2">IFERROR(VLOOKUP($C5,EmployeeClass, 2, FALSE),0)</f>
        <v>0</v>
      </c>
      <c r="E5" s="400">
        <f t="shared" si="0"/>
        <v>0</v>
      </c>
      <c r="F5" s="425"/>
      <c r="G5" s="412" t="str">
        <f>IF(ISBLANK('R&amp;R Generic Detailed Budget'!$E14),"0",'R&amp;R Generic Detailed Budget'!$E14)</f>
        <v>0</v>
      </c>
      <c r="H5" s="412">
        <f>IF('R&amp;R Generic Detailed Budget'!$A$1&gt;1,ROUND((G5*'R&amp;R Generic Detailed Budget'!$V$15),0),0)</f>
        <v>0</v>
      </c>
      <c r="I5" s="412">
        <f>IF('R&amp;R Generic Detailed Budget'!$A$1&gt;2,ROUND((H5*'R&amp;R Generic Detailed Budget'!$V$15),0),0)</f>
        <v>0</v>
      </c>
      <c r="J5" s="412">
        <f>IF('R&amp;R Generic Detailed Budget'!$A$1&gt;3,ROUND((I5*'R&amp;R Generic Detailed Budget'!$V$15),0),0)</f>
        <v>0</v>
      </c>
      <c r="K5" s="412">
        <f>IF('R&amp;R Generic Detailed Budget'!$A$1&gt;4,ROUND((J5*'R&amp;R Generic Detailed Budget'!$V$15),0),0)</f>
        <v>0</v>
      </c>
      <c r="L5" s="406"/>
      <c r="M5" s="402" t="str">
        <f>IF(ISBLANK('R&amp;R Generic Detailed Budget'!$F14),"",'R&amp;R Generic Detailed Budget'!$F14)</f>
        <v/>
      </c>
      <c r="N5" s="402" t="str">
        <f>IF(ISBLANK('R&amp;R Generic Detailed Budget'!$G14),"",'R&amp;R Generic Detailed Budget'!$G14)</f>
        <v/>
      </c>
      <c r="O5" s="402" t="str">
        <f>IF(ISBLANK('R&amp;R Generic Detailed Budget'!$H14),"",'R&amp;R Generic Detailed Budget'!$H14)</f>
        <v/>
      </c>
      <c r="P5" s="402" t="str">
        <f>IF(ISBLANK('R&amp;R Generic Detailed Budget'!$I14),"",'R&amp;R Generic Detailed Budget'!$I14)</f>
        <v/>
      </c>
      <c r="Q5" s="402" t="str">
        <f>IF(ISBLANK('R&amp;R Generic Detailed Budget'!$J14),"",'R&amp;R Generic Detailed Budget'!$J14)</f>
        <v/>
      </c>
      <c r="R5" s="406"/>
      <c r="S5" s="417" t="str">
        <f t="shared" ref="S5:S18" si="3">IFERROR($E5*M5,"")</f>
        <v/>
      </c>
      <c r="T5" s="417" t="str">
        <f t="shared" ref="T5:T18" si="4">IFERROR($E5*N5,"")</f>
        <v/>
      </c>
      <c r="U5" s="417" t="str">
        <f t="shared" ref="U5:U18" si="5">IFERROR($E5*O5,"")</f>
        <v/>
      </c>
      <c r="V5" s="417" t="str">
        <f t="shared" ref="V5:V18" si="6">IFERROR($E5*P5,"")</f>
        <v/>
      </c>
      <c r="W5" s="417" t="str">
        <f t="shared" ref="W5:W18" si="7">IFERROR($E5*Q5,"")</f>
        <v/>
      </c>
      <c r="X5" s="417">
        <f t="shared" ref="X5:X19" si="8">SUM(S5:W5)</f>
        <v>0</v>
      </c>
      <c r="Y5" s="406"/>
      <c r="Z5" s="412">
        <f>IF(ISBLANK('R&amp;R Generic Detailed Budget'!$L14),"",'R&amp;R Generic Detailed Budget'!$L14)</f>
        <v>0</v>
      </c>
      <c r="AA5" s="412">
        <f>IF(ISBLANK('R&amp;R Generic Detailed Budget'!$M14),"",'R&amp;R Generic Detailed Budget'!$M14)</f>
        <v>0</v>
      </c>
      <c r="AB5" s="412">
        <f>IF(ISBLANK('R&amp;R Generic Detailed Budget'!$N14),"",'R&amp;R Generic Detailed Budget'!$N14)</f>
        <v>0</v>
      </c>
      <c r="AC5" s="412">
        <f>IF(ISBLANK('R&amp;R Generic Detailed Budget'!$O14),"",'R&amp;R Generic Detailed Budget'!$O14)</f>
        <v>0</v>
      </c>
      <c r="AD5" s="412">
        <f>IF(ISBLANK('R&amp;R Generic Detailed Budget'!$P14),"",'R&amp;R Generic Detailed Budget'!$P14)</f>
        <v>0</v>
      </c>
      <c r="AE5" s="414">
        <f t="shared" ref="AE5:AE41" si="9">SUM(Z5:AD5)</f>
        <v>0</v>
      </c>
      <c r="AF5" s="406"/>
      <c r="AG5" s="404" t="str">
        <f t="shared" si="1"/>
        <v/>
      </c>
      <c r="AH5" s="404" t="str">
        <f>IF('R&amp;R Generic Detailed Budget'!$A$1&gt;1,IF($A5="","",VLOOKUP($D5,OPE_Rates,3,FALSE)),0)</f>
        <v/>
      </c>
      <c r="AI5" s="404" t="str">
        <f>IF('R&amp;R Generic Detailed Budget'!$A$1&gt;2,IF($A5="","",VLOOKUP($D5,OPE_Rates,4,FALSE)),0)</f>
        <v/>
      </c>
      <c r="AJ5" s="404" t="str">
        <f>IF('R&amp;R Generic Detailed Budget'!$A$1&gt;3,IF($A5="","",VLOOKUP($D5,OPE_Rates,5,FALSE)),"")</f>
        <v/>
      </c>
      <c r="AK5" s="404" t="str">
        <f>IF('R&amp;R Generic Detailed Budget'!$A$1&gt;3,IF($A5="","",VLOOKUP($D5,OPE_Rates,6,FALSE)),"")</f>
        <v/>
      </c>
      <c r="AL5" s="406"/>
      <c r="AM5" s="412" t="str">
        <f t="shared" ref="AM5:AM19" si="10">IFERROR(ROUND(IF(AG5="","",Z5*AG5),0),"")</f>
        <v/>
      </c>
      <c r="AN5" s="412" t="str">
        <f t="shared" ref="AN5:AN19" si="11">IFERROR(ROUND(IF(AH5="","",AA5*AH5),0),"")</f>
        <v/>
      </c>
      <c r="AO5" s="412" t="str">
        <f t="shared" ref="AO5:AO19" si="12">IFERROR(ROUND(IF(AI5="","",AB5*AI5),0),"")</f>
        <v/>
      </c>
      <c r="AP5" s="412" t="str">
        <f t="shared" ref="AP5:AP19" si="13">IFERROR(ROUND(IF(AJ5="","",AC5*AJ5),0),"")</f>
        <v/>
      </c>
      <c r="AQ5" s="412" t="str">
        <f t="shared" ref="AQ5:AQ19" si="14">IFERROR(ROUND(IF(AK5="","",AD5*AK5),0),"")</f>
        <v/>
      </c>
      <c r="AR5" s="414">
        <f t="shared" ref="AR5:AR30" si="15">SUM(AM5:AQ5)</f>
        <v>0</v>
      </c>
      <c r="AS5" s="406"/>
    </row>
    <row r="6" spans="1:45" s="394" customFormat="1" ht="11.25" x14ac:dyDescent="0.2">
      <c r="A6" s="398" t="str">
        <f>IF(ISBLANK('R&amp;R Generic Detailed Budget'!B15),"",'R&amp;R Generic Detailed Budget'!B15)</f>
        <v/>
      </c>
      <c r="B6" s="399">
        <f>IFERROR(VLOOKUP($A6,'R&amp;R Generic Detailed Budget'!$B$13:$D$52, 2, FALSE),0)</f>
        <v>0</v>
      </c>
      <c r="C6" s="399">
        <f>IFERROR(VLOOKUP($A6,'R&amp;R Generic Detailed Budget'!$B$13:$D$52, 3, FALSE),0)</f>
        <v>0</v>
      </c>
      <c r="D6" s="401">
        <f t="shared" si="2"/>
        <v>0</v>
      </c>
      <c r="E6" s="400">
        <f t="shared" si="0"/>
        <v>0</v>
      </c>
      <c r="F6" s="425"/>
      <c r="G6" s="412" t="str">
        <f>IF(ISBLANK('R&amp;R Generic Detailed Budget'!$E15),"0",'R&amp;R Generic Detailed Budget'!$E15)</f>
        <v>0</v>
      </c>
      <c r="H6" s="412">
        <f>IF('R&amp;R Generic Detailed Budget'!$A$1&gt;1,ROUND((G6*'R&amp;R Generic Detailed Budget'!$V$15),0),0)</f>
        <v>0</v>
      </c>
      <c r="I6" s="412">
        <f>IF('R&amp;R Generic Detailed Budget'!$A$1&gt;2,ROUND((H6*'R&amp;R Generic Detailed Budget'!$V$15),0),0)</f>
        <v>0</v>
      </c>
      <c r="J6" s="412">
        <f>IF('R&amp;R Generic Detailed Budget'!$A$1&gt;3,ROUND((I6*'R&amp;R Generic Detailed Budget'!$V$15),0),0)</f>
        <v>0</v>
      </c>
      <c r="K6" s="412">
        <f>IF('R&amp;R Generic Detailed Budget'!$A$1&gt;4,ROUND((J6*'R&amp;R Generic Detailed Budget'!$V$15),0),0)</f>
        <v>0</v>
      </c>
      <c r="L6" s="406"/>
      <c r="M6" s="402" t="str">
        <f>IF(ISBLANK('R&amp;R Generic Detailed Budget'!$F15),"",'R&amp;R Generic Detailed Budget'!$F15)</f>
        <v/>
      </c>
      <c r="N6" s="402" t="str">
        <f>IF(ISBLANK('R&amp;R Generic Detailed Budget'!$G15),"",'R&amp;R Generic Detailed Budget'!$G15)</f>
        <v/>
      </c>
      <c r="O6" s="402" t="str">
        <f>IF(ISBLANK('R&amp;R Generic Detailed Budget'!$H15),"",'R&amp;R Generic Detailed Budget'!$H15)</f>
        <v/>
      </c>
      <c r="P6" s="402" t="str">
        <f>IF(ISBLANK('R&amp;R Generic Detailed Budget'!$I15),"",'R&amp;R Generic Detailed Budget'!$I15)</f>
        <v/>
      </c>
      <c r="Q6" s="402" t="str">
        <f>IF(ISBLANK('R&amp;R Generic Detailed Budget'!$J15),"",'R&amp;R Generic Detailed Budget'!$J15)</f>
        <v/>
      </c>
      <c r="R6" s="406"/>
      <c r="S6" s="417" t="str">
        <f t="shared" si="3"/>
        <v/>
      </c>
      <c r="T6" s="417" t="str">
        <f t="shared" si="4"/>
        <v/>
      </c>
      <c r="U6" s="417" t="str">
        <f t="shared" si="5"/>
        <v/>
      </c>
      <c r="V6" s="417" t="str">
        <f t="shared" si="6"/>
        <v/>
      </c>
      <c r="W6" s="417" t="str">
        <f t="shared" si="7"/>
        <v/>
      </c>
      <c r="X6" s="417">
        <f t="shared" si="8"/>
        <v>0</v>
      </c>
      <c r="Y6" s="406"/>
      <c r="Z6" s="412">
        <f>IF(ISBLANK('R&amp;R Generic Detailed Budget'!$L15),"",'R&amp;R Generic Detailed Budget'!$L15)</f>
        <v>0</v>
      </c>
      <c r="AA6" s="412">
        <f>IF(ISBLANK('R&amp;R Generic Detailed Budget'!$M15),"",'R&amp;R Generic Detailed Budget'!$M15)</f>
        <v>0</v>
      </c>
      <c r="AB6" s="412">
        <f>IF(ISBLANK('R&amp;R Generic Detailed Budget'!$N15),"",'R&amp;R Generic Detailed Budget'!$N15)</f>
        <v>0</v>
      </c>
      <c r="AC6" s="412">
        <f>IF(ISBLANK('R&amp;R Generic Detailed Budget'!$O15),"",'R&amp;R Generic Detailed Budget'!$O15)</f>
        <v>0</v>
      </c>
      <c r="AD6" s="412">
        <f>IF(ISBLANK('R&amp;R Generic Detailed Budget'!$P15),"",'R&amp;R Generic Detailed Budget'!$P15)</f>
        <v>0</v>
      </c>
      <c r="AE6" s="414">
        <f t="shared" si="9"/>
        <v>0</v>
      </c>
      <c r="AF6" s="406"/>
      <c r="AG6" s="404" t="str">
        <f t="shared" si="1"/>
        <v/>
      </c>
      <c r="AH6" s="404" t="str">
        <f>IF('R&amp;R Generic Detailed Budget'!$A$1&gt;1,IF($A6="","",VLOOKUP($D6,OPE_Rates,3,FALSE)),0)</f>
        <v/>
      </c>
      <c r="AI6" s="404" t="str">
        <f>IF('R&amp;R Generic Detailed Budget'!$A$1&gt;2,IF($A6="","",VLOOKUP($D6,OPE_Rates,4,FALSE)),0)</f>
        <v/>
      </c>
      <c r="AJ6" s="404" t="str">
        <f>IF('R&amp;R Generic Detailed Budget'!$A$1&gt;3,IF($A6="","",VLOOKUP($D6,OPE_Rates,5,FALSE)),"")</f>
        <v/>
      </c>
      <c r="AK6" s="404" t="str">
        <f>IF('R&amp;R Generic Detailed Budget'!$A$1&gt;3,IF($A6="","",VLOOKUP($D6,OPE_Rates,6,FALSE)),"")</f>
        <v/>
      </c>
      <c r="AL6" s="406"/>
      <c r="AM6" s="412" t="str">
        <f>IFERROR(ROUND(IF(AG6="","",Z6*AG6),0),"")</f>
        <v/>
      </c>
      <c r="AN6" s="412" t="str">
        <f t="shared" si="11"/>
        <v/>
      </c>
      <c r="AO6" s="412" t="str">
        <f t="shared" si="12"/>
        <v/>
      </c>
      <c r="AP6" s="412" t="str">
        <f t="shared" si="13"/>
        <v/>
      </c>
      <c r="AQ6" s="412" t="str">
        <f t="shared" si="14"/>
        <v/>
      </c>
      <c r="AR6" s="414">
        <f t="shared" si="15"/>
        <v>0</v>
      </c>
      <c r="AS6" s="406"/>
    </row>
    <row r="7" spans="1:45" s="394" customFormat="1" ht="11.25" x14ac:dyDescent="0.2">
      <c r="A7" s="398" t="str">
        <f>IF(ISBLANK('R&amp;R Generic Detailed Budget'!B16),"",'R&amp;R Generic Detailed Budget'!B16)</f>
        <v/>
      </c>
      <c r="B7" s="399">
        <f>IFERROR(VLOOKUP($A7,'R&amp;R Generic Detailed Budget'!$B$13:$D$52, 2, FALSE),0)</f>
        <v>0</v>
      </c>
      <c r="C7" s="399">
        <f>IFERROR(VLOOKUP($A7,'R&amp;R Generic Detailed Budget'!$B$13:$D$52, 3, FALSE),0)</f>
        <v>0</v>
      </c>
      <c r="D7" s="401">
        <f t="shared" si="2"/>
        <v>0</v>
      </c>
      <c r="E7" s="400">
        <f t="shared" si="0"/>
        <v>0</v>
      </c>
      <c r="F7" s="425"/>
      <c r="G7" s="412" t="str">
        <f>IF(ISBLANK('R&amp;R Generic Detailed Budget'!$E16),"0",'R&amp;R Generic Detailed Budget'!$E16)</f>
        <v>0</v>
      </c>
      <c r="H7" s="412">
        <f>IF('R&amp;R Generic Detailed Budget'!$A$1&gt;1,ROUND((G7*'R&amp;R Generic Detailed Budget'!$V$15),0),0)</f>
        <v>0</v>
      </c>
      <c r="I7" s="412">
        <f>IF('R&amp;R Generic Detailed Budget'!$A$1&gt;2,ROUND((H7*'R&amp;R Generic Detailed Budget'!$V$15),0),0)</f>
        <v>0</v>
      </c>
      <c r="J7" s="412">
        <f>IF('R&amp;R Generic Detailed Budget'!$A$1&gt;3,ROUND((I7*'R&amp;R Generic Detailed Budget'!$V$15),0),0)</f>
        <v>0</v>
      </c>
      <c r="K7" s="412">
        <f>IF('R&amp;R Generic Detailed Budget'!$A$1&gt;4,ROUND((J7*'R&amp;R Generic Detailed Budget'!$V$15),0),0)</f>
        <v>0</v>
      </c>
      <c r="L7" s="406"/>
      <c r="M7" s="402" t="str">
        <f>IF(ISBLANK('R&amp;R Generic Detailed Budget'!$F16),"",'R&amp;R Generic Detailed Budget'!$F16)</f>
        <v/>
      </c>
      <c r="N7" s="402" t="str">
        <f>IF(ISBLANK('R&amp;R Generic Detailed Budget'!$G16),"",'R&amp;R Generic Detailed Budget'!$G16)</f>
        <v/>
      </c>
      <c r="O7" s="402" t="str">
        <f>IF(ISBLANK('R&amp;R Generic Detailed Budget'!$H16),"",'R&amp;R Generic Detailed Budget'!$H16)</f>
        <v/>
      </c>
      <c r="P7" s="402" t="str">
        <f>IF(ISBLANK('R&amp;R Generic Detailed Budget'!$I16),"",'R&amp;R Generic Detailed Budget'!$I16)</f>
        <v/>
      </c>
      <c r="Q7" s="402" t="str">
        <f>IF(ISBLANK('R&amp;R Generic Detailed Budget'!$J16),"",'R&amp;R Generic Detailed Budget'!$J16)</f>
        <v/>
      </c>
      <c r="R7" s="406"/>
      <c r="S7" s="417" t="str">
        <f t="shared" si="3"/>
        <v/>
      </c>
      <c r="T7" s="417" t="str">
        <f t="shared" si="4"/>
        <v/>
      </c>
      <c r="U7" s="417" t="str">
        <f t="shared" si="5"/>
        <v/>
      </c>
      <c r="V7" s="417" t="str">
        <f t="shared" si="6"/>
        <v/>
      </c>
      <c r="W7" s="417" t="str">
        <f t="shared" si="7"/>
        <v/>
      </c>
      <c r="X7" s="417">
        <f t="shared" si="8"/>
        <v>0</v>
      </c>
      <c r="Y7" s="406"/>
      <c r="Z7" s="412">
        <f>IF(ISBLANK('R&amp;R Generic Detailed Budget'!$L16),"",'R&amp;R Generic Detailed Budget'!$L16)</f>
        <v>0</v>
      </c>
      <c r="AA7" s="412">
        <f>IF(ISBLANK('R&amp;R Generic Detailed Budget'!$M16),"",'R&amp;R Generic Detailed Budget'!$M16)</f>
        <v>0</v>
      </c>
      <c r="AB7" s="412">
        <f>IF(ISBLANK('R&amp;R Generic Detailed Budget'!$N16),"",'R&amp;R Generic Detailed Budget'!$N16)</f>
        <v>0</v>
      </c>
      <c r="AC7" s="412">
        <f>IF(ISBLANK('R&amp;R Generic Detailed Budget'!$O16),"",'R&amp;R Generic Detailed Budget'!$O16)</f>
        <v>0</v>
      </c>
      <c r="AD7" s="412">
        <f>IF(ISBLANK('R&amp;R Generic Detailed Budget'!$P16),"",'R&amp;R Generic Detailed Budget'!$P16)</f>
        <v>0</v>
      </c>
      <c r="AE7" s="414">
        <f t="shared" si="9"/>
        <v>0</v>
      </c>
      <c r="AF7" s="406"/>
      <c r="AG7" s="404" t="str">
        <f t="shared" si="1"/>
        <v/>
      </c>
      <c r="AH7" s="404" t="str">
        <f>IF('R&amp;R Generic Detailed Budget'!$A$1&gt;1,IF($A7="","",VLOOKUP($D7,OPE_Rates,3,FALSE)),0)</f>
        <v/>
      </c>
      <c r="AI7" s="404" t="str">
        <f>IF('R&amp;R Generic Detailed Budget'!$A$1&gt;2,IF($A7="","",VLOOKUP($D7,OPE_Rates,4,FALSE)),0)</f>
        <v/>
      </c>
      <c r="AJ7" s="404" t="str">
        <f>IF('R&amp;R Generic Detailed Budget'!$A$1&gt;3,IF($A7="","",VLOOKUP($D7,OPE_Rates,5,FALSE)),"")</f>
        <v/>
      </c>
      <c r="AK7" s="404" t="str">
        <f>IF('R&amp;R Generic Detailed Budget'!$A$1&gt;3,IF($A7="","",VLOOKUP($D7,OPE_Rates,6,FALSE)),"")</f>
        <v/>
      </c>
      <c r="AL7" s="406"/>
      <c r="AM7" s="412" t="str">
        <f t="shared" si="10"/>
        <v/>
      </c>
      <c r="AN7" s="412" t="str">
        <f t="shared" si="11"/>
        <v/>
      </c>
      <c r="AO7" s="412" t="str">
        <f t="shared" si="12"/>
        <v/>
      </c>
      <c r="AP7" s="412" t="str">
        <f t="shared" si="13"/>
        <v/>
      </c>
      <c r="AQ7" s="412" t="str">
        <f t="shared" si="14"/>
        <v/>
      </c>
      <c r="AR7" s="414">
        <f t="shared" si="15"/>
        <v>0</v>
      </c>
      <c r="AS7" s="406"/>
    </row>
    <row r="8" spans="1:45" s="394" customFormat="1" ht="11.25" x14ac:dyDescent="0.2">
      <c r="A8" s="398" t="str">
        <f>IF(ISBLANK('R&amp;R Generic Detailed Budget'!B17),"",'R&amp;R Generic Detailed Budget'!B17)</f>
        <v/>
      </c>
      <c r="B8" s="399">
        <f>IFERROR(VLOOKUP($A8,'R&amp;R Generic Detailed Budget'!$B$13:$D$52, 2, FALSE),0)</f>
        <v>0</v>
      </c>
      <c r="C8" s="399">
        <f>IFERROR(VLOOKUP($A8,'R&amp;R Generic Detailed Budget'!$B$13:$D$52, 3, FALSE),0)</f>
        <v>0</v>
      </c>
      <c r="D8" s="401">
        <f t="shared" si="2"/>
        <v>0</v>
      </c>
      <c r="E8" s="400">
        <f t="shared" si="0"/>
        <v>0</v>
      </c>
      <c r="F8" s="425"/>
      <c r="G8" s="412" t="str">
        <f>IF(ISBLANK('R&amp;R Generic Detailed Budget'!$E17),"0",'R&amp;R Generic Detailed Budget'!$E17)</f>
        <v>0</v>
      </c>
      <c r="H8" s="412">
        <f>IF('R&amp;R Generic Detailed Budget'!$A$1&gt;1,ROUND((G8*'R&amp;R Generic Detailed Budget'!$V$15),0),0)</f>
        <v>0</v>
      </c>
      <c r="I8" s="412">
        <f>IF('R&amp;R Generic Detailed Budget'!$A$1&gt;2,ROUND((H8*'R&amp;R Generic Detailed Budget'!$V$15),0),0)</f>
        <v>0</v>
      </c>
      <c r="J8" s="412">
        <f>IF('R&amp;R Generic Detailed Budget'!$A$1&gt;3,ROUND((I8*'R&amp;R Generic Detailed Budget'!$V$15),0),0)</f>
        <v>0</v>
      </c>
      <c r="K8" s="412">
        <f>IF('R&amp;R Generic Detailed Budget'!$A$1&gt;4,ROUND((J8*'R&amp;R Generic Detailed Budget'!$V$15),0),0)</f>
        <v>0</v>
      </c>
      <c r="L8" s="406"/>
      <c r="M8" s="402" t="str">
        <f>IF(ISBLANK('R&amp;R Generic Detailed Budget'!$F17),"",'R&amp;R Generic Detailed Budget'!$F17)</f>
        <v/>
      </c>
      <c r="N8" s="402" t="str">
        <f>IF(ISBLANK('R&amp;R Generic Detailed Budget'!$G17),"",'R&amp;R Generic Detailed Budget'!$G17)</f>
        <v/>
      </c>
      <c r="O8" s="402" t="str">
        <f>IF(ISBLANK('R&amp;R Generic Detailed Budget'!$H17),"",'R&amp;R Generic Detailed Budget'!$H17)</f>
        <v/>
      </c>
      <c r="P8" s="402" t="str">
        <f>IF(ISBLANK('R&amp;R Generic Detailed Budget'!$I17),"",'R&amp;R Generic Detailed Budget'!$I17)</f>
        <v/>
      </c>
      <c r="Q8" s="402" t="str">
        <f>IF(ISBLANK('R&amp;R Generic Detailed Budget'!$J17),"",'R&amp;R Generic Detailed Budget'!$J17)</f>
        <v/>
      </c>
      <c r="R8" s="406"/>
      <c r="S8" s="417" t="str">
        <f t="shared" si="3"/>
        <v/>
      </c>
      <c r="T8" s="417" t="str">
        <f t="shared" si="4"/>
        <v/>
      </c>
      <c r="U8" s="417" t="str">
        <f t="shared" si="5"/>
        <v/>
      </c>
      <c r="V8" s="417" t="str">
        <f t="shared" si="6"/>
        <v/>
      </c>
      <c r="W8" s="417" t="str">
        <f t="shared" si="7"/>
        <v/>
      </c>
      <c r="X8" s="417">
        <f t="shared" si="8"/>
        <v>0</v>
      </c>
      <c r="Y8" s="406"/>
      <c r="Z8" s="412">
        <f>IF(ISBLANK('R&amp;R Generic Detailed Budget'!$L17),"",'R&amp;R Generic Detailed Budget'!$L17)</f>
        <v>0</v>
      </c>
      <c r="AA8" s="412">
        <f>IF(ISBLANK('R&amp;R Generic Detailed Budget'!$M17),"",'R&amp;R Generic Detailed Budget'!$M17)</f>
        <v>0</v>
      </c>
      <c r="AB8" s="412">
        <f>IF(ISBLANK('R&amp;R Generic Detailed Budget'!$N17),"",'R&amp;R Generic Detailed Budget'!$N17)</f>
        <v>0</v>
      </c>
      <c r="AC8" s="412">
        <f>IF(ISBLANK('R&amp;R Generic Detailed Budget'!$O17),"",'R&amp;R Generic Detailed Budget'!$O17)</f>
        <v>0</v>
      </c>
      <c r="AD8" s="412">
        <f>IF(ISBLANK('R&amp;R Generic Detailed Budget'!$P17),"",'R&amp;R Generic Detailed Budget'!$P17)</f>
        <v>0</v>
      </c>
      <c r="AE8" s="414">
        <f t="shared" si="9"/>
        <v>0</v>
      </c>
      <c r="AF8" s="406"/>
      <c r="AG8" s="404" t="str">
        <f t="shared" si="1"/>
        <v/>
      </c>
      <c r="AH8" s="404" t="str">
        <f>IF('R&amp;R Generic Detailed Budget'!$A$1&gt;1,IF($A8="","",VLOOKUP($D8,OPE_Rates,3,FALSE)),0)</f>
        <v/>
      </c>
      <c r="AI8" s="404" t="str">
        <f>IF('R&amp;R Generic Detailed Budget'!$A$1&gt;2,IF($A8="","",VLOOKUP($D8,OPE_Rates,4,FALSE)),0)</f>
        <v/>
      </c>
      <c r="AJ8" s="404" t="str">
        <f>IF('R&amp;R Generic Detailed Budget'!$A$1&gt;3,IF($A8="","",VLOOKUP($D8,OPE_Rates,5,FALSE)),"")</f>
        <v/>
      </c>
      <c r="AK8" s="404" t="str">
        <f>IF('R&amp;R Generic Detailed Budget'!$A$1&gt;3,IF($A8="","",VLOOKUP($D8,OPE_Rates,6,FALSE)),"")</f>
        <v/>
      </c>
      <c r="AL8" s="406"/>
      <c r="AM8" s="412" t="str">
        <f t="shared" si="10"/>
        <v/>
      </c>
      <c r="AN8" s="412" t="str">
        <f t="shared" si="11"/>
        <v/>
      </c>
      <c r="AO8" s="412" t="str">
        <f t="shared" si="12"/>
        <v/>
      </c>
      <c r="AP8" s="412" t="str">
        <f t="shared" si="13"/>
        <v/>
      </c>
      <c r="AQ8" s="412" t="str">
        <f t="shared" si="14"/>
        <v/>
      </c>
      <c r="AR8" s="414">
        <f t="shared" si="15"/>
        <v>0</v>
      </c>
      <c r="AS8" s="406"/>
    </row>
    <row r="9" spans="1:45" s="394" customFormat="1" ht="11.25" x14ac:dyDescent="0.2">
      <c r="A9" s="398" t="str">
        <f>IF(ISBLANK('R&amp;R Generic Detailed Budget'!B18),"",'R&amp;R Generic Detailed Budget'!B18)</f>
        <v/>
      </c>
      <c r="B9" s="399">
        <f>IFERROR(VLOOKUP($A9,'R&amp;R Generic Detailed Budget'!$B$13:$D$52, 2, FALSE),0)</f>
        <v>0</v>
      </c>
      <c r="C9" s="399">
        <f>IFERROR(VLOOKUP($A9,'R&amp;R Generic Detailed Budget'!$B$13:$D$52, 3, FALSE),0)</f>
        <v>0</v>
      </c>
      <c r="D9" s="401">
        <f t="shared" si="2"/>
        <v>0</v>
      </c>
      <c r="E9" s="400">
        <f t="shared" si="0"/>
        <v>0</v>
      </c>
      <c r="F9" s="425"/>
      <c r="G9" s="412" t="str">
        <f>IF(ISBLANK('R&amp;R Generic Detailed Budget'!$E18),"0",'R&amp;R Generic Detailed Budget'!$E18)</f>
        <v>0</v>
      </c>
      <c r="H9" s="412">
        <f>IF('R&amp;R Generic Detailed Budget'!$A$1&gt;1,ROUND((G9*'R&amp;R Generic Detailed Budget'!$V$15),0),0)</f>
        <v>0</v>
      </c>
      <c r="I9" s="412">
        <f>IF('R&amp;R Generic Detailed Budget'!$A$1&gt;2,ROUND((H9*'R&amp;R Generic Detailed Budget'!$V$15),0),0)</f>
        <v>0</v>
      </c>
      <c r="J9" s="412">
        <f>IF('R&amp;R Generic Detailed Budget'!$A$1&gt;3,ROUND((I9*'R&amp;R Generic Detailed Budget'!$V$15),0),0)</f>
        <v>0</v>
      </c>
      <c r="K9" s="412">
        <f>IF('R&amp;R Generic Detailed Budget'!$A$1&gt;4,ROUND((J9*'R&amp;R Generic Detailed Budget'!$V$15),0),0)</f>
        <v>0</v>
      </c>
      <c r="L9" s="406"/>
      <c r="M9" s="402" t="str">
        <f>IF(ISBLANK('R&amp;R Generic Detailed Budget'!$F18),"",'R&amp;R Generic Detailed Budget'!$F18)</f>
        <v/>
      </c>
      <c r="N9" s="402" t="str">
        <f>IF(ISBLANK('R&amp;R Generic Detailed Budget'!$G18),"",'R&amp;R Generic Detailed Budget'!$G18)</f>
        <v/>
      </c>
      <c r="O9" s="402" t="str">
        <f>IF(ISBLANK('R&amp;R Generic Detailed Budget'!$H18),"",'R&amp;R Generic Detailed Budget'!$H18)</f>
        <v/>
      </c>
      <c r="P9" s="402" t="str">
        <f>IF(ISBLANK('R&amp;R Generic Detailed Budget'!$I18),"",'R&amp;R Generic Detailed Budget'!$I18)</f>
        <v/>
      </c>
      <c r="Q9" s="402" t="str">
        <f>IF(ISBLANK('R&amp;R Generic Detailed Budget'!$J18),"",'R&amp;R Generic Detailed Budget'!$J18)</f>
        <v/>
      </c>
      <c r="R9" s="406"/>
      <c r="S9" s="417" t="str">
        <f t="shared" si="3"/>
        <v/>
      </c>
      <c r="T9" s="417" t="str">
        <f t="shared" si="4"/>
        <v/>
      </c>
      <c r="U9" s="417" t="str">
        <f t="shared" si="5"/>
        <v/>
      </c>
      <c r="V9" s="417" t="str">
        <f t="shared" si="6"/>
        <v/>
      </c>
      <c r="W9" s="417" t="str">
        <f t="shared" si="7"/>
        <v/>
      </c>
      <c r="X9" s="417">
        <f t="shared" si="8"/>
        <v>0</v>
      </c>
      <c r="Y9" s="406"/>
      <c r="Z9" s="412">
        <f>IF(ISBLANK('R&amp;R Generic Detailed Budget'!$L18),"",'R&amp;R Generic Detailed Budget'!$L18)</f>
        <v>0</v>
      </c>
      <c r="AA9" s="412">
        <f>IF(ISBLANK('R&amp;R Generic Detailed Budget'!$M18),"",'R&amp;R Generic Detailed Budget'!$M18)</f>
        <v>0</v>
      </c>
      <c r="AB9" s="412">
        <f>IF(ISBLANK('R&amp;R Generic Detailed Budget'!$N18),"",'R&amp;R Generic Detailed Budget'!$N18)</f>
        <v>0</v>
      </c>
      <c r="AC9" s="412">
        <f>IF(ISBLANK('R&amp;R Generic Detailed Budget'!$O18),"",'R&amp;R Generic Detailed Budget'!$O18)</f>
        <v>0</v>
      </c>
      <c r="AD9" s="412">
        <f>IF(ISBLANK('R&amp;R Generic Detailed Budget'!$P18),"",'R&amp;R Generic Detailed Budget'!$P18)</f>
        <v>0</v>
      </c>
      <c r="AE9" s="414">
        <f t="shared" si="9"/>
        <v>0</v>
      </c>
      <c r="AF9" s="406"/>
      <c r="AG9" s="404" t="str">
        <f t="shared" si="1"/>
        <v/>
      </c>
      <c r="AH9" s="404" t="str">
        <f>IF('R&amp;R Generic Detailed Budget'!$A$1&gt;1,IF($A9="","",VLOOKUP($D9,OPE_Rates,3,FALSE)),0)</f>
        <v/>
      </c>
      <c r="AI9" s="404" t="str">
        <f>IF('R&amp;R Generic Detailed Budget'!$A$1&gt;2,IF($A9="","",VLOOKUP($D9,OPE_Rates,4,FALSE)),0)</f>
        <v/>
      </c>
      <c r="AJ9" s="404" t="str">
        <f>IF('R&amp;R Generic Detailed Budget'!$A$1&gt;3,IF($A9="","",VLOOKUP($D9,OPE_Rates,5,FALSE)),"")</f>
        <v/>
      </c>
      <c r="AK9" s="404" t="str">
        <f>IF('R&amp;R Generic Detailed Budget'!$A$1&gt;3,IF($A9="","",VLOOKUP($D9,OPE_Rates,6,FALSE)),"")</f>
        <v/>
      </c>
      <c r="AL9" s="406"/>
      <c r="AM9" s="412" t="str">
        <f t="shared" si="10"/>
        <v/>
      </c>
      <c r="AN9" s="412" t="str">
        <f t="shared" si="11"/>
        <v/>
      </c>
      <c r="AO9" s="412" t="str">
        <f t="shared" si="12"/>
        <v/>
      </c>
      <c r="AP9" s="412" t="str">
        <f t="shared" si="13"/>
        <v/>
      </c>
      <c r="AQ9" s="412" t="str">
        <f t="shared" si="14"/>
        <v/>
      </c>
      <c r="AR9" s="414">
        <f t="shared" si="15"/>
        <v>0</v>
      </c>
      <c r="AS9" s="406"/>
    </row>
    <row r="10" spans="1:45" s="394" customFormat="1" ht="11.25" x14ac:dyDescent="0.2">
      <c r="A10" s="398" t="str">
        <f>IF(ISBLANK('R&amp;R Generic Detailed Budget'!B19),"",'R&amp;R Generic Detailed Budget'!B19)</f>
        <v/>
      </c>
      <c r="B10" s="399">
        <f>IFERROR(VLOOKUP($A10,'R&amp;R Generic Detailed Budget'!$B$13:$D$52, 2, FALSE),0)</f>
        <v>0</v>
      </c>
      <c r="C10" s="399">
        <f>IFERROR(VLOOKUP($A10,'R&amp;R Generic Detailed Budget'!$B$13:$D$52, 3, FALSE),0)</f>
        <v>0</v>
      </c>
      <c r="D10" s="401">
        <f t="shared" si="2"/>
        <v>0</v>
      </c>
      <c r="E10" s="400">
        <f t="shared" si="0"/>
        <v>0</v>
      </c>
      <c r="F10" s="425"/>
      <c r="G10" s="412" t="str">
        <f>IF(ISBLANK('R&amp;R Generic Detailed Budget'!$E19),"0",'R&amp;R Generic Detailed Budget'!$E19)</f>
        <v>0</v>
      </c>
      <c r="H10" s="412">
        <f>IF('R&amp;R Generic Detailed Budget'!$A$1&gt;1,ROUND((G10*'R&amp;R Generic Detailed Budget'!$V$15),0),0)</f>
        <v>0</v>
      </c>
      <c r="I10" s="412">
        <f>IF('R&amp;R Generic Detailed Budget'!$A$1&gt;2,ROUND((H10*'R&amp;R Generic Detailed Budget'!$V$15),0),0)</f>
        <v>0</v>
      </c>
      <c r="J10" s="412">
        <f>IF('R&amp;R Generic Detailed Budget'!$A$1&gt;3,ROUND((I10*'R&amp;R Generic Detailed Budget'!$V$15),0),0)</f>
        <v>0</v>
      </c>
      <c r="K10" s="412">
        <f>IF('R&amp;R Generic Detailed Budget'!$A$1&gt;4,ROUND((J10*'R&amp;R Generic Detailed Budget'!$V$15),0),0)</f>
        <v>0</v>
      </c>
      <c r="L10" s="406"/>
      <c r="M10" s="402" t="str">
        <f>IF(ISBLANK('R&amp;R Generic Detailed Budget'!$F19),"",'R&amp;R Generic Detailed Budget'!$F19)</f>
        <v/>
      </c>
      <c r="N10" s="402" t="str">
        <f>IF(ISBLANK('R&amp;R Generic Detailed Budget'!$G19),"",'R&amp;R Generic Detailed Budget'!$G19)</f>
        <v/>
      </c>
      <c r="O10" s="402" t="str">
        <f>IF(ISBLANK('R&amp;R Generic Detailed Budget'!$H19),"",'R&amp;R Generic Detailed Budget'!$H19)</f>
        <v/>
      </c>
      <c r="P10" s="402" t="str">
        <f>IF(ISBLANK('R&amp;R Generic Detailed Budget'!$I19),"",'R&amp;R Generic Detailed Budget'!$I19)</f>
        <v/>
      </c>
      <c r="Q10" s="402" t="str">
        <f>IF(ISBLANK('R&amp;R Generic Detailed Budget'!$J19),"",'R&amp;R Generic Detailed Budget'!$J19)</f>
        <v/>
      </c>
      <c r="R10" s="406"/>
      <c r="S10" s="417" t="str">
        <f>IFERROR($E10*M10,"")</f>
        <v/>
      </c>
      <c r="T10" s="417" t="str">
        <f t="shared" si="4"/>
        <v/>
      </c>
      <c r="U10" s="417" t="str">
        <f t="shared" si="5"/>
        <v/>
      </c>
      <c r="V10" s="417" t="str">
        <f t="shared" si="6"/>
        <v/>
      </c>
      <c r="W10" s="417" t="str">
        <f t="shared" si="7"/>
        <v/>
      </c>
      <c r="X10" s="417">
        <f t="shared" si="8"/>
        <v>0</v>
      </c>
      <c r="Y10" s="406"/>
      <c r="Z10" s="412">
        <f>IF(ISBLANK('R&amp;R Generic Detailed Budget'!$L19),"",'R&amp;R Generic Detailed Budget'!$L19)</f>
        <v>0</v>
      </c>
      <c r="AA10" s="412">
        <f>IF(ISBLANK('R&amp;R Generic Detailed Budget'!$M19),"",'R&amp;R Generic Detailed Budget'!$M19)</f>
        <v>0</v>
      </c>
      <c r="AB10" s="412">
        <f>IF(ISBLANK('R&amp;R Generic Detailed Budget'!$N19),"",'R&amp;R Generic Detailed Budget'!$N19)</f>
        <v>0</v>
      </c>
      <c r="AC10" s="412">
        <f>IF(ISBLANK('R&amp;R Generic Detailed Budget'!$O19),"",'R&amp;R Generic Detailed Budget'!$O19)</f>
        <v>0</v>
      </c>
      <c r="AD10" s="412">
        <f>IF(ISBLANK('R&amp;R Generic Detailed Budget'!$P19),"",'R&amp;R Generic Detailed Budget'!$P19)</f>
        <v>0</v>
      </c>
      <c r="AE10" s="414">
        <f t="shared" si="9"/>
        <v>0</v>
      </c>
      <c r="AF10" s="406"/>
      <c r="AG10" s="404" t="str">
        <f t="shared" si="1"/>
        <v/>
      </c>
      <c r="AH10" s="404" t="str">
        <f>IF('R&amp;R Generic Detailed Budget'!$A$1&gt;1,IF($A10="","",VLOOKUP($D10,OPE_Rates,3,FALSE)),0)</f>
        <v/>
      </c>
      <c r="AI10" s="404" t="str">
        <f>IF('R&amp;R Generic Detailed Budget'!$A$1&gt;2,IF($A10="","",VLOOKUP($D10,OPE_Rates,4,FALSE)),0)</f>
        <v/>
      </c>
      <c r="AJ10" s="404" t="str">
        <f>IF('R&amp;R Generic Detailed Budget'!$A$1&gt;3,IF($A10="","",VLOOKUP($D10,OPE_Rates,5,FALSE)),"")</f>
        <v/>
      </c>
      <c r="AK10" s="404" t="str">
        <f>IF('R&amp;R Generic Detailed Budget'!$A$1&gt;3,IF($A10="","",VLOOKUP($D10,OPE_Rates,6,FALSE)),"")</f>
        <v/>
      </c>
      <c r="AL10" s="406"/>
      <c r="AM10" s="412" t="str">
        <f t="shared" si="10"/>
        <v/>
      </c>
      <c r="AN10" s="412" t="str">
        <f t="shared" si="11"/>
        <v/>
      </c>
      <c r="AO10" s="412" t="str">
        <f t="shared" si="12"/>
        <v/>
      </c>
      <c r="AP10" s="412" t="str">
        <f t="shared" si="13"/>
        <v/>
      </c>
      <c r="AQ10" s="412" t="str">
        <f t="shared" si="14"/>
        <v/>
      </c>
      <c r="AR10" s="414">
        <f t="shared" si="15"/>
        <v>0</v>
      </c>
      <c r="AS10" s="406"/>
    </row>
    <row r="11" spans="1:45" s="394" customFormat="1" ht="11.25" x14ac:dyDescent="0.2">
      <c r="A11" s="398" t="str">
        <f>IF(ISBLANK('R&amp;R Generic Detailed Budget'!B20),"",'R&amp;R Generic Detailed Budget'!B20)</f>
        <v/>
      </c>
      <c r="B11" s="399">
        <f>IFERROR(VLOOKUP($A11,'R&amp;R Generic Detailed Budget'!$B$13:$D$52, 2, FALSE),0)</f>
        <v>0</v>
      </c>
      <c r="C11" s="399">
        <f>IFERROR(VLOOKUP($A11,'R&amp;R Generic Detailed Budget'!$B$13:$D$52, 3, FALSE),0)</f>
        <v>0</v>
      </c>
      <c r="D11" s="401">
        <f t="shared" si="2"/>
        <v>0</v>
      </c>
      <c r="E11" s="400">
        <f t="shared" si="0"/>
        <v>0</v>
      </c>
      <c r="F11" s="425"/>
      <c r="G11" s="413" t="str">
        <f>IF(ISBLANK('R&amp;R Generic Detailed Budget'!$E20),"0",'R&amp;R Generic Detailed Budget'!$E20)</f>
        <v>0</v>
      </c>
      <c r="H11" s="412">
        <f>IF('R&amp;R Generic Detailed Budget'!$A$1&gt;1,ROUND((G11*'R&amp;R Generic Detailed Budget'!$V$15),0),0)</f>
        <v>0</v>
      </c>
      <c r="I11" s="412">
        <f>IF('R&amp;R Generic Detailed Budget'!$A$1&gt;2,ROUND((H11*'R&amp;R Generic Detailed Budget'!$V$15),0),0)</f>
        <v>0</v>
      </c>
      <c r="J11" s="412">
        <f>IF('R&amp;R Generic Detailed Budget'!$A$1&gt;3,ROUND((I11*'R&amp;R Generic Detailed Budget'!$V$15),0),0)</f>
        <v>0</v>
      </c>
      <c r="K11" s="412">
        <f>IF('R&amp;R Generic Detailed Budget'!$A$1&gt;4,ROUND((J11*'R&amp;R Generic Detailed Budget'!$V$15),0),0)</f>
        <v>0</v>
      </c>
      <c r="L11" s="406"/>
      <c r="M11" s="402" t="str">
        <f>IF(ISBLANK('R&amp;R Generic Detailed Budget'!$F20),"",'R&amp;R Generic Detailed Budget'!$F20)</f>
        <v/>
      </c>
      <c r="N11" s="402" t="str">
        <f>IF(ISBLANK('R&amp;R Generic Detailed Budget'!$G20),"",'R&amp;R Generic Detailed Budget'!$G20)</f>
        <v/>
      </c>
      <c r="O11" s="402" t="str">
        <f>IF(ISBLANK('R&amp;R Generic Detailed Budget'!$H20),"",'R&amp;R Generic Detailed Budget'!$H20)</f>
        <v/>
      </c>
      <c r="P11" s="402" t="str">
        <f>IF(ISBLANK('R&amp;R Generic Detailed Budget'!$I20),"",'R&amp;R Generic Detailed Budget'!$I20)</f>
        <v/>
      </c>
      <c r="Q11" s="402" t="str">
        <f>IF(ISBLANK('R&amp;R Generic Detailed Budget'!$J20),"",'R&amp;R Generic Detailed Budget'!$J20)</f>
        <v/>
      </c>
      <c r="R11" s="406"/>
      <c r="S11" s="417" t="str">
        <f t="shared" si="3"/>
        <v/>
      </c>
      <c r="T11" s="417" t="str">
        <f t="shared" si="4"/>
        <v/>
      </c>
      <c r="U11" s="417" t="str">
        <f t="shared" si="5"/>
        <v/>
      </c>
      <c r="V11" s="417" t="str">
        <f t="shared" si="6"/>
        <v/>
      </c>
      <c r="W11" s="417" t="str">
        <f t="shared" si="7"/>
        <v/>
      </c>
      <c r="X11" s="417">
        <f t="shared" si="8"/>
        <v>0</v>
      </c>
      <c r="Y11" s="406"/>
      <c r="Z11" s="412">
        <f>IF(ISBLANK('R&amp;R Generic Detailed Budget'!$L20),"",'R&amp;R Generic Detailed Budget'!$L20)</f>
        <v>0</v>
      </c>
      <c r="AA11" s="412">
        <f>IF(ISBLANK('R&amp;R Generic Detailed Budget'!$M20),"",'R&amp;R Generic Detailed Budget'!$M20)</f>
        <v>0</v>
      </c>
      <c r="AB11" s="412">
        <f>IF(ISBLANK('R&amp;R Generic Detailed Budget'!$N20),"",'R&amp;R Generic Detailed Budget'!$N20)</f>
        <v>0</v>
      </c>
      <c r="AC11" s="412">
        <f>IF(ISBLANK('R&amp;R Generic Detailed Budget'!$O20),"",'R&amp;R Generic Detailed Budget'!$O20)</f>
        <v>0</v>
      </c>
      <c r="AD11" s="412">
        <f>IF(ISBLANK('R&amp;R Generic Detailed Budget'!$P20),"",'R&amp;R Generic Detailed Budget'!$P20)</f>
        <v>0</v>
      </c>
      <c r="AE11" s="414">
        <f t="shared" si="9"/>
        <v>0</v>
      </c>
      <c r="AF11" s="406"/>
      <c r="AG11" s="404" t="str">
        <f t="shared" si="1"/>
        <v/>
      </c>
      <c r="AH11" s="404" t="str">
        <f>IF('R&amp;R Generic Detailed Budget'!$A$1&gt;1,IF($A11="","",VLOOKUP($D11,OPE_Rates,3,FALSE)),0)</f>
        <v/>
      </c>
      <c r="AI11" s="404" t="str">
        <f>IF('R&amp;R Generic Detailed Budget'!$A$1&gt;2,IF($A11="","",VLOOKUP($D11,OPE_Rates,4,FALSE)),0)</f>
        <v/>
      </c>
      <c r="AJ11" s="404" t="str">
        <f>IF('R&amp;R Generic Detailed Budget'!$A$1&gt;3,IF($A11="","",VLOOKUP($D11,OPE_Rates,5,FALSE)),"")</f>
        <v/>
      </c>
      <c r="AK11" s="404" t="str">
        <f>IF('R&amp;R Generic Detailed Budget'!$A$1&gt;3,IF($A11="","",VLOOKUP($D11,OPE_Rates,6,FALSE)),"")</f>
        <v/>
      </c>
      <c r="AL11" s="406"/>
      <c r="AM11" s="412" t="str">
        <f t="shared" si="10"/>
        <v/>
      </c>
      <c r="AN11" s="412" t="str">
        <f t="shared" si="11"/>
        <v/>
      </c>
      <c r="AO11" s="412" t="str">
        <f t="shared" si="12"/>
        <v/>
      </c>
      <c r="AP11" s="412" t="str">
        <f t="shared" si="13"/>
        <v/>
      </c>
      <c r="AQ11" s="412" t="str">
        <f t="shared" si="14"/>
        <v/>
      </c>
      <c r="AR11" s="414">
        <f t="shared" si="15"/>
        <v>0</v>
      </c>
      <c r="AS11" s="406"/>
    </row>
    <row r="12" spans="1:45" s="394" customFormat="1" ht="11.25" x14ac:dyDescent="0.2">
      <c r="A12" s="398" t="str">
        <f>IF(ISBLANK('R&amp;R Generic Detailed Budget'!B21),"",'R&amp;R Generic Detailed Budget'!B21)</f>
        <v/>
      </c>
      <c r="B12" s="399">
        <f>IFERROR(VLOOKUP($A12,'R&amp;R Generic Detailed Budget'!$B$13:$D$52, 2, FALSE),0)</f>
        <v>0</v>
      </c>
      <c r="C12" s="399">
        <f>IFERROR(VLOOKUP($A12,'R&amp;R Generic Detailed Budget'!$B$13:$D$52, 3, FALSE),0)</f>
        <v>0</v>
      </c>
      <c r="D12" s="401">
        <f t="shared" si="2"/>
        <v>0</v>
      </c>
      <c r="E12" s="400">
        <f t="shared" si="0"/>
        <v>0</v>
      </c>
      <c r="F12" s="425"/>
      <c r="G12" s="413" t="str">
        <f>IF(ISBLANK('R&amp;R Generic Detailed Budget'!$E21),"0",'R&amp;R Generic Detailed Budget'!$E21)</f>
        <v>0</v>
      </c>
      <c r="H12" s="412">
        <f>IF('R&amp;R Generic Detailed Budget'!$A$1&gt;1,ROUND((G12*'R&amp;R Generic Detailed Budget'!$V$15),0),0)</f>
        <v>0</v>
      </c>
      <c r="I12" s="412">
        <f>IF('R&amp;R Generic Detailed Budget'!$A$1&gt;2,ROUND((H12*'R&amp;R Generic Detailed Budget'!$V$15),0),0)</f>
        <v>0</v>
      </c>
      <c r="J12" s="412">
        <f>IF('R&amp;R Generic Detailed Budget'!$A$1&gt;3,ROUND((I12*'R&amp;R Generic Detailed Budget'!$V$15),0),0)</f>
        <v>0</v>
      </c>
      <c r="K12" s="412">
        <f>IF('R&amp;R Generic Detailed Budget'!$A$1&gt;4,ROUND((J12*'R&amp;R Generic Detailed Budget'!$V$15),0),0)</f>
        <v>0</v>
      </c>
      <c r="L12" s="406"/>
      <c r="M12" s="402" t="str">
        <f>IF(ISBLANK('R&amp;R Generic Detailed Budget'!$F21),"",'R&amp;R Generic Detailed Budget'!$F21)</f>
        <v/>
      </c>
      <c r="N12" s="402" t="str">
        <f>IF(ISBLANK('R&amp;R Generic Detailed Budget'!$G21),"",'R&amp;R Generic Detailed Budget'!$G21)</f>
        <v/>
      </c>
      <c r="O12" s="402" t="str">
        <f>IF(ISBLANK('R&amp;R Generic Detailed Budget'!$H21),"",'R&amp;R Generic Detailed Budget'!$H21)</f>
        <v/>
      </c>
      <c r="P12" s="402" t="str">
        <f>IF(ISBLANK('R&amp;R Generic Detailed Budget'!$I21),"",'R&amp;R Generic Detailed Budget'!$I21)</f>
        <v/>
      </c>
      <c r="Q12" s="402" t="str">
        <f>IF(ISBLANK('R&amp;R Generic Detailed Budget'!$J21),"",'R&amp;R Generic Detailed Budget'!$J21)</f>
        <v/>
      </c>
      <c r="R12" s="406"/>
      <c r="S12" s="417" t="str">
        <f t="shared" si="3"/>
        <v/>
      </c>
      <c r="T12" s="417" t="str">
        <f t="shared" si="4"/>
        <v/>
      </c>
      <c r="U12" s="417" t="str">
        <f t="shared" si="5"/>
        <v/>
      </c>
      <c r="V12" s="417" t="str">
        <f t="shared" si="6"/>
        <v/>
      </c>
      <c r="W12" s="417" t="str">
        <f t="shared" si="7"/>
        <v/>
      </c>
      <c r="X12" s="417">
        <f t="shared" si="8"/>
        <v>0</v>
      </c>
      <c r="Y12" s="406"/>
      <c r="Z12" s="412">
        <f>IF(ISBLANK('R&amp;R Generic Detailed Budget'!$L21),"",'R&amp;R Generic Detailed Budget'!$L21)</f>
        <v>0</v>
      </c>
      <c r="AA12" s="412">
        <f>IF(ISBLANK('R&amp;R Generic Detailed Budget'!$M21),"",'R&amp;R Generic Detailed Budget'!$M21)</f>
        <v>0</v>
      </c>
      <c r="AB12" s="412">
        <f>IF(ISBLANK('R&amp;R Generic Detailed Budget'!$N21),"",'R&amp;R Generic Detailed Budget'!$N21)</f>
        <v>0</v>
      </c>
      <c r="AC12" s="412">
        <f>IF(ISBLANK('R&amp;R Generic Detailed Budget'!$O21),"",'R&amp;R Generic Detailed Budget'!$O21)</f>
        <v>0</v>
      </c>
      <c r="AD12" s="412">
        <f>IF(ISBLANK('R&amp;R Generic Detailed Budget'!$P21),"",'R&amp;R Generic Detailed Budget'!$P21)</f>
        <v>0</v>
      </c>
      <c r="AE12" s="412">
        <f t="shared" si="9"/>
        <v>0</v>
      </c>
      <c r="AF12" s="406"/>
      <c r="AG12" s="404" t="str">
        <f t="shared" si="1"/>
        <v/>
      </c>
      <c r="AH12" s="404" t="str">
        <f>IF('R&amp;R Generic Detailed Budget'!$A$1&gt;1,IF($A12="","",VLOOKUP($D12,OPE_Rates,3,FALSE)),0)</f>
        <v/>
      </c>
      <c r="AI12" s="404" t="str">
        <f>IF('R&amp;R Generic Detailed Budget'!$A$1&gt;2,IF($A12="","",VLOOKUP($D12,OPE_Rates,4,FALSE)),0)</f>
        <v/>
      </c>
      <c r="AJ12" s="404" t="str">
        <f>IF('R&amp;R Generic Detailed Budget'!$A$1&gt;3,IF($A12="","",VLOOKUP($D12,OPE_Rates,5,FALSE)),"")</f>
        <v/>
      </c>
      <c r="AK12" s="404" t="str">
        <f>IF('R&amp;R Generic Detailed Budget'!$A$1&gt;3,IF($A12="","",VLOOKUP($D12,OPE_Rates,6,FALSE)),"")</f>
        <v/>
      </c>
      <c r="AL12" s="406"/>
      <c r="AM12" s="412" t="str">
        <f t="shared" si="10"/>
        <v/>
      </c>
      <c r="AN12" s="412" t="str">
        <f t="shared" si="11"/>
        <v/>
      </c>
      <c r="AO12" s="412" t="str">
        <f t="shared" si="12"/>
        <v/>
      </c>
      <c r="AP12" s="412" t="str">
        <f t="shared" si="13"/>
        <v/>
      </c>
      <c r="AQ12" s="412" t="str">
        <f t="shared" si="14"/>
        <v/>
      </c>
      <c r="AR12" s="414">
        <f t="shared" si="15"/>
        <v>0</v>
      </c>
      <c r="AS12" s="406"/>
    </row>
    <row r="13" spans="1:45" s="394" customFormat="1" ht="11.25" x14ac:dyDescent="0.2">
      <c r="A13" s="398" t="str">
        <f>IF(ISBLANK('R&amp;R Generic Detailed Budget'!B22),"",'R&amp;R Generic Detailed Budget'!B22)</f>
        <v/>
      </c>
      <c r="B13" s="399">
        <f>IFERROR(VLOOKUP($A13,'R&amp;R Generic Detailed Budget'!$B$13:$D$52, 2, FALSE),0)</f>
        <v>0</v>
      </c>
      <c r="C13" s="399">
        <f>IFERROR(VLOOKUP($A13,'R&amp;R Generic Detailed Budget'!$B$13:$D$52, 3, FALSE),0)</f>
        <v>0</v>
      </c>
      <c r="D13" s="401">
        <f t="shared" si="2"/>
        <v>0</v>
      </c>
      <c r="E13" s="400">
        <f t="shared" si="0"/>
        <v>0</v>
      </c>
      <c r="F13" s="425"/>
      <c r="G13" s="413" t="str">
        <f>IF(ISBLANK('R&amp;R Generic Detailed Budget'!$E22),"0",'R&amp;R Generic Detailed Budget'!$E22)</f>
        <v>0</v>
      </c>
      <c r="H13" s="412">
        <f>IF('R&amp;R Generic Detailed Budget'!$A$1&gt;1,ROUND((G13*'R&amp;R Generic Detailed Budget'!$V$15),0),0)</f>
        <v>0</v>
      </c>
      <c r="I13" s="412">
        <f>IF('R&amp;R Generic Detailed Budget'!$A$1&gt;2,ROUND((H13*'R&amp;R Generic Detailed Budget'!$V$15),0),0)</f>
        <v>0</v>
      </c>
      <c r="J13" s="412">
        <f>IF('R&amp;R Generic Detailed Budget'!$A$1&gt;3,ROUND((I13*'R&amp;R Generic Detailed Budget'!$V$15),0),0)</f>
        <v>0</v>
      </c>
      <c r="K13" s="412">
        <f>IF('R&amp;R Generic Detailed Budget'!$A$1&gt;4,ROUND((J13*'R&amp;R Generic Detailed Budget'!$V$15),0),0)</f>
        <v>0</v>
      </c>
      <c r="L13" s="406"/>
      <c r="M13" s="402" t="str">
        <f>IF(ISBLANK('R&amp;R Generic Detailed Budget'!$F22),"",'R&amp;R Generic Detailed Budget'!$F22)</f>
        <v/>
      </c>
      <c r="N13" s="402" t="str">
        <f>IF(ISBLANK('R&amp;R Generic Detailed Budget'!$G22),"",'R&amp;R Generic Detailed Budget'!$G22)</f>
        <v/>
      </c>
      <c r="O13" s="402" t="str">
        <f>IF(ISBLANK('R&amp;R Generic Detailed Budget'!$H22),"",'R&amp;R Generic Detailed Budget'!$H22)</f>
        <v/>
      </c>
      <c r="P13" s="402" t="str">
        <f>IF(ISBLANK('R&amp;R Generic Detailed Budget'!$I22),"",'R&amp;R Generic Detailed Budget'!$I22)</f>
        <v/>
      </c>
      <c r="Q13" s="402" t="str">
        <f>IF(ISBLANK('R&amp;R Generic Detailed Budget'!$J22),"",'R&amp;R Generic Detailed Budget'!$J22)</f>
        <v/>
      </c>
      <c r="R13" s="406"/>
      <c r="S13" s="417" t="str">
        <f t="shared" si="3"/>
        <v/>
      </c>
      <c r="T13" s="417" t="str">
        <f t="shared" si="4"/>
        <v/>
      </c>
      <c r="U13" s="417" t="str">
        <f t="shared" si="5"/>
        <v/>
      </c>
      <c r="V13" s="417" t="str">
        <f t="shared" si="6"/>
        <v/>
      </c>
      <c r="W13" s="417" t="str">
        <f t="shared" si="7"/>
        <v/>
      </c>
      <c r="X13" s="417">
        <f t="shared" si="8"/>
        <v>0</v>
      </c>
      <c r="Y13" s="406"/>
      <c r="Z13" s="412">
        <f>IF(ISBLANK('R&amp;R Generic Detailed Budget'!$L22),"",'R&amp;R Generic Detailed Budget'!$L22)</f>
        <v>0</v>
      </c>
      <c r="AA13" s="412">
        <f>IF(ISBLANK('R&amp;R Generic Detailed Budget'!$M22),"",'R&amp;R Generic Detailed Budget'!$M22)</f>
        <v>0</v>
      </c>
      <c r="AB13" s="412">
        <f>IF(ISBLANK('R&amp;R Generic Detailed Budget'!$N22),"",'R&amp;R Generic Detailed Budget'!$N22)</f>
        <v>0</v>
      </c>
      <c r="AC13" s="412">
        <f>IF(ISBLANK('R&amp;R Generic Detailed Budget'!$O22),"",'R&amp;R Generic Detailed Budget'!$O22)</f>
        <v>0</v>
      </c>
      <c r="AD13" s="412">
        <f>IF(ISBLANK('R&amp;R Generic Detailed Budget'!$P22),"",'R&amp;R Generic Detailed Budget'!$P22)</f>
        <v>0</v>
      </c>
      <c r="AE13" s="412">
        <f t="shared" si="9"/>
        <v>0</v>
      </c>
      <c r="AF13" s="406"/>
      <c r="AG13" s="404" t="str">
        <f t="shared" si="1"/>
        <v/>
      </c>
      <c r="AH13" s="404" t="str">
        <f>IF('R&amp;R Generic Detailed Budget'!$A$1&gt;1,IF($A13="","",VLOOKUP($D13,OPE_Rates,3,FALSE)),0)</f>
        <v/>
      </c>
      <c r="AI13" s="404" t="str">
        <f>IF('R&amp;R Generic Detailed Budget'!$A$1&gt;2,IF($A13="","",VLOOKUP($D13,OPE_Rates,4,FALSE)),0)</f>
        <v/>
      </c>
      <c r="AJ13" s="404" t="str">
        <f>IF('R&amp;R Generic Detailed Budget'!$A$1&gt;3,IF($A13="","",VLOOKUP($D13,OPE_Rates,5,FALSE)),"")</f>
        <v/>
      </c>
      <c r="AK13" s="404" t="str">
        <f>IF('R&amp;R Generic Detailed Budget'!$A$1&gt;3,IF($A13="","",VLOOKUP($D13,OPE_Rates,6,FALSE)),"")</f>
        <v/>
      </c>
      <c r="AL13" s="406"/>
      <c r="AM13" s="412" t="str">
        <f t="shared" si="10"/>
        <v/>
      </c>
      <c r="AN13" s="412" t="str">
        <f t="shared" si="11"/>
        <v/>
      </c>
      <c r="AO13" s="412" t="str">
        <f t="shared" si="12"/>
        <v/>
      </c>
      <c r="AP13" s="412" t="str">
        <f t="shared" si="13"/>
        <v/>
      </c>
      <c r="AQ13" s="412" t="str">
        <f t="shared" si="14"/>
        <v/>
      </c>
      <c r="AR13" s="414">
        <f t="shared" si="15"/>
        <v>0</v>
      </c>
      <c r="AS13" s="406"/>
    </row>
    <row r="14" spans="1:45" s="394" customFormat="1" ht="11.25" x14ac:dyDescent="0.2">
      <c r="A14" s="398" t="str">
        <f>IF(ISBLANK('R&amp;R Generic Detailed Budget'!B23),"",'R&amp;R Generic Detailed Budget'!B23)</f>
        <v/>
      </c>
      <c r="B14" s="399">
        <f>IFERROR(VLOOKUP($A14,'R&amp;R Generic Detailed Budget'!$B$13:$D$52, 2, FALSE),0)</f>
        <v>0</v>
      </c>
      <c r="C14" s="399">
        <f>IFERROR(VLOOKUP($A14,'R&amp;R Generic Detailed Budget'!$B$13:$D$52, 3, FALSE),0)</f>
        <v>0</v>
      </c>
      <c r="D14" s="401">
        <f t="shared" si="2"/>
        <v>0</v>
      </c>
      <c r="E14" s="400">
        <f t="shared" si="0"/>
        <v>0</v>
      </c>
      <c r="F14" s="425"/>
      <c r="G14" s="413" t="str">
        <f>IF(ISBLANK('R&amp;R Generic Detailed Budget'!$E23),"0",'R&amp;R Generic Detailed Budget'!$E23)</f>
        <v>0</v>
      </c>
      <c r="H14" s="412">
        <f>IF('R&amp;R Generic Detailed Budget'!$A$1&gt;1,ROUND((G14*'R&amp;R Generic Detailed Budget'!$V$15),0),0)</f>
        <v>0</v>
      </c>
      <c r="I14" s="412">
        <f>IF('R&amp;R Generic Detailed Budget'!$A$1&gt;2,ROUND((H14*'R&amp;R Generic Detailed Budget'!$V$15),0),0)</f>
        <v>0</v>
      </c>
      <c r="J14" s="412">
        <f>IF('R&amp;R Generic Detailed Budget'!$A$1&gt;3,ROUND((I14*'R&amp;R Generic Detailed Budget'!$V$15),0),0)</f>
        <v>0</v>
      </c>
      <c r="K14" s="412">
        <f>IF('R&amp;R Generic Detailed Budget'!$A$1&gt;4,ROUND((J14*'R&amp;R Generic Detailed Budget'!$V$15),0),0)</f>
        <v>0</v>
      </c>
      <c r="L14" s="406"/>
      <c r="M14" s="402" t="str">
        <f>IF(ISBLANK('R&amp;R Generic Detailed Budget'!$F23),"",'R&amp;R Generic Detailed Budget'!$F23)</f>
        <v/>
      </c>
      <c r="N14" s="402" t="str">
        <f>IF(ISBLANK('R&amp;R Generic Detailed Budget'!$G23),"",'R&amp;R Generic Detailed Budget'!$G23)</f>
        <v/>
      </c>
      <c r="O14" s="402" t="str">
        <f>IF(ISBLANK('R&amp;R Generic Detailed Budget'!$H23),"",'R&amp;R Generic Detailed Budget'!$H23)</f>
        <v/>
      </c>
      <c r="P14" s="402" t="str">
        <f>IF(ISBLANK('R&amp;R Generic Detailed Budget'!$I23),"",'R&amp;R Generic Detailed Budget'!$I23)</f>
        <v/>
      </c>
      <c r="Q14" s="402" t="str">
        <f>IF(ISBLANK('R&amp;R Generic Detailed Budget'!$J23),"",'R&amp;R Generic Detailed Budget'!$J23)</f>
        <v/>
      </c>
      <c r="R14" s="406"/>
      <c r="S14" s="417" t="str">
        <f t="shared" si="3"/>
        <v/>
      </c>
      <c r="T14" s="417" t="str">
        <f t="shared" si="4"/>
        <v/>
      </c>
      <c r="U14" s="417" t="str">
        <f t="shared" si="5"/>
        <v/>
      </c>
      <c r="V14" s="417" t="str">
        <f t="shared" si="6"/>
        <v/>
      </c>
      <c r="W14" s="417" t="str">
        <f t="shared" si="7"/>
        <v/>
      </c>
      <c r="X14" s="417">
        <f t="shared" si="8"/>
        <v>0</v>
      </c>
      <c r="Y14" s="406"/>
      <c r="Z14" s="412">
        <f>IF(ISBLANK('R&amp;R Generic Detailed Budget'!$L23),"",'R&amp;R Generic Detailed Budget'!$L23)</f>
        <v>0</v>
      </c>
      <c r="AA14" s="412">
        <f>IF(ISBLANK('R&amp;R Generic Detailed Budget'!$M23),"",'R&amp;R Generic Detailed Budget'!$M23)</f>
        <v>0</v>
      </c>
      <c r="AB14" s="412">
        <f>IF(ISBLANK('R&amp;R Generic Detailed Budget'!$N23),"",'R&amp;R Generic Detailed Budget'!$N23)</f>
        <v>0</v>
      </c>
      <c r="AC14" s="412">
        <f>IF(ISBLANK('R&amp;R Generic Detailed Budget'!$O23),"",'R&amp;R Generic Detailed Budget'!$O23)</f>
        <v>0</v>
      </c>
      <c r="AD14" s="412">
        <f>IF(ISBLANK('R&amp;R Generic Detailed Budget'!$P23),"",'R&amp;R Generic Detailed Budget'!$P23)</f>
        <v>0</v>
      </c>
      <c r="AE14" s="412">
        <f t="shared" si="9"/>
        <v>0</v>
      </c>
      <c r="AF14" s="406"/>
      <c r="AG14" s="404" t="str">
        <f t="shared" si="1"/>
        <v/>
      </c>
      <c r="AH14" s="404" t="str">
        <f>IF('R&amp;R Generic Detailed Budget'!$A$1&gt;1,IF($A14="","",VLOOKUP($D14,OPE_Rates,3,FALSE)),0)</f>
        <v/>
      </c>
      <c r="AI14" s="404" t="str">
        <f>IF('R&amp;R Generic Detailed Budget'!$A$1&gt;2,IF($A14="","",VLOOKUP($D14,OPE_Rates,4,FALSE)),0)</f>
        <v/>
      </c>
      <c r="AJ14" s="404" t="str">
        <f>IF('R&amp;R Generic Detailed Budget'!$A$1&gt;3,IF($A14="","",VLOOKUP($D14,OPE_Rates,5,FALSE)),"")</f>
        <v/>
      </c>
      <c r="AK14" s="404" t="str">
        <f>IF('R&amp;R Generic Detailed Budget'!$A$1&gt;3,IF($A14="","",VLOOKUP($D14,OPE_Rates,6,FALSE)),"")</f>
        <v/>
      </c>
      <c r="AL14" s="406"/>
      <c r="AM14" s="412" t="str">
        <f t="shared" si="10"/>
        <v/>
      </c>
      <c r="AN14" s="412" t="str">
        <f t="shared" si="11"/>
        <v/>
      </c>
      <c r="AO14" s="412" t="str">
        <f t="shared" si="12"/>
        <v/>
      </c>
      <c r="AP14" s="412" t="str">
        <f t="shared" si="13"/>
        <v/>
      </c>
      <c r="AQ14" s="412" t="str">
        <f t="shared" si="14"/>
        <v/>
      </c>
      <c r="AR14" s="414">
        <f t="shared" si="15"/>
        <v>0</v>
      </c>
      <c r="AS14" s="406"/>
    </row>
    <row r="15" spans="1:45" s="394" customFormat="1" ht="11.25" x14ac:dyDescent="0.2">
      <c r="A15" s="398" t="str">
        <f>IF(ISBLANK('R&amp;R Generic Detailed Budget'!B24),"",'R&amp;R Generic Detailed Budget'!B24)</f>
        <v/>
      </c>
      <c r="B15" s="399">
        <f>IFERROR(VLOOKUP($A15,'R&amp;R Generic Detailed Budget'!$B$13:$D$52, 2, FALSE),0)</f>
        <v>0</v>
      </c>
      <c r="C15" s="399">
        <f>IFERROR(VLOOKUP($A15,'R&amp;R Generic Detailed Budget'!$B$13:$D$52, 3, FALSE),0)</f>
        <v>0</v>
      </c>
      <c r="D15" s="401">
        <f t="shared" si="2"/>
        <v>0</v>
      </c>
      <c r="E15" s="400">
        <f t="shared" si="0"/>
        <v>0</v>
      </c>
      <c r="F15" s="425"/>
      <c r="G15" s="413" t="str">
        <f>IF(ISBLANK('R&amp;R Generic Detailed Budget'!$E24),"0",'R&amp;R Generic Detailed Budget'!$E24)</f>
        <v>0</v>
      </c>
      <c r="H15" s="412">
        <f>IF('R&amp;R Generic Detailed Budget'!$A$1&gt;1,ROUND((G15*'R&amp;R Generic Detailed Budget'!$V$15),0),0)</f>
        <v>0</v>
      </c>
      <c r="I15" s="412">
        <f>IF('R&amp;R Generic Detailed Budget'!$A$1&gt;2,ROUND((H15*'R&amp;R Generic Detailed Budget'!$V$15),0),0)</f>
        <v>0</v>
      </c>
      <c r="J15" s="412">
        <f>IF('R&amp;R Generic Detailed Budget'!$A$1&gt;3,ROUND((I15*'R&amp;R Generic Detailed Budget'!$V$15),0),0)</f>
        <v>0</v>
      </c>
      <c r="K15" s="412">
        <f>IF('R&amp;R Generic Detailed Budget'!$A$1&gt;4,ROUND((J15*'R&amp;R Generic Detailed Budget'!$V$15),0),0)</f>
        <v>0</v>
      </c>
      <c r="L15" s="406"/>
      <c r="M15" s="402" t="str">
        <f>IF(ISBLANK('R&amp;R Generic Detailed Budget'!$F24),"",'R&amp;R Generic Detailed Budget'!$F24)</f>
        <v/>
      </c>
      <c r="N15" s="402" t="str">
        <f>IF(ISBLANK('R&amp;R Generic Detailed Budget'!$G24),"",'R&amp;R Generic Detailed Budget'!$G24)</f>
        <v/>
      </c>
      <c r="O15" s="402" t="str">
        <f>IF(ISBLANK('R&amp;R Generic Detailed Budget'!$H24),"",'R&amp;R Generic Detailed Budget'!$H24)</f>
        <v/>
      </c>
      <c r="P15" s="402" t="str">
        <f>IF(ISBLANK('R&amp;R Generic Detailed Budget'!$I24),"",'R&amp;R Generic Detailed Budget'!$I24)</f>
        <v/>
      </c>
      <c r="Q15" s="402" t="str">
        <f>IF(ISBLANK('R&amp;R Generic Detailed Budget'!$J24),"",'R&amp;R Generic Detailed Budget'!$J24)</f>
        <v/>
      </c>
      <c r="R15" s="406"/>
      <c r="S15" s="417" t="str">
        <f t="shared" si="3"/>
        <v/>
      </c>
      <c r="T15" s="417" t="str">
        <f t="shared" si="4"/>
        <v/>
      </c>
      <c r="U15" s="417" t="str">
        <f t="shared" si="5"/>
        <v/>
      </c>
      <c r="V15" s="417" t="str">
        <f t="shared" si="6"/>
        <v/>
      </c>
      <c r="W15" s="417" t="str">
        <f t="shared" si="7"/>
        <v/>
      </c>
      <c r="X15" s="417">
        <f t="shared" si="8"/>
        <v>0</v>
      </c>
      <c r="Y15" s="406"/>
      <c r="Z15" s="412">
        <f>IF(ISBLANK('R&amp;R Generic Detailed Budget'!$L24),"",'R&amp;R Generic Detailed Budget'!$L24)</f>
        <v>0</v>
      </c>
      <c r="AA15" s="412">
        <f>IF(ISBLANK('R&amp;R Generic Detailed Budget'!$M24),"",'R&amp;R Generic Detailed Budget'!$M24)</f>
        <v>0</v>
      </c>
      <c r="AB15" s="412">
        <f>IF(ISBLANK('R&amp;R Generic Detailed Budget'!$N24),"",'R&amp;R Generic Detailed Budget'!$N24)</f>
        <v>0</v>
      </c>
      <c r="AC15" s="412">
        <f>IF(ISBLANK('R&amp;R Generic Detailed Budget'!$O24),"",'R&amp;R Generic Detailed Budget'!$O24)</f>
        <v>0</v>
      </c>
      <c r="AD15" s="412">
        <f>IF(ISBLANK('R&amp;R Generic Detailed Budget'!$P24),"",'R&amp;R Generic Detailed Budget'!$P24)</f>
        <v>0</v>
      </c>
      <c r="AE15" s="412">
        <f t="shared" si="9"/>
        <v>0</v>
      </c>
      <c r="AF15" s="406"/>
      <c r="AG15" s="404" t="str">
        <f t="shared" si="1"/>
        <v/>
      </c>
      <c r="AH15" s="404" t="str">
        <f>IF('R&amp;R Generic Detailed Budget'!$A$1&gt;1,IF($A15="","",VLOOKUP($D15,OPE_Rates,3,FALSE)),0)</f>
        <v/>
      </c>
      <c r="AI15" s="404" t="str">
        <f>IF('R&amp;R Generic Detailed Budget'!$A$1&gt;2,IF($A15="","",VLOOKUP($D15,OPE_Rates,4,FALSE)),0)</f>
        <v/>
      </c>
      <c r="AJ15" s="404" t="str">
        <f>IF('R&amp;R Generic Detailed Budget'!$A$1&gt;3,IF($A15="","",VLOOKUP($D15,OPE_Rates,5,FALSE)),"")</f>
        <v/>
      </c>
      <c r="AK15" s="404" t="str">
        <f>IF('R&amp;R Generic Detailed Budget'!$A$1&gt;3,IF($A15="","",VLOOKUP($D15,OPE_Rates,6,FALSE)),"")</f>
        <v/>
      </c>
      <c r="AL15" s="406"/>
      <c r="AM15" s="412" t="str">
        <f t="shared" si="10"/>
        <v/>
      </c>
      <c r="AN15" s="412" t="str">
        <f t="shared" si="11"/>
        <v/>
      </c>
      <c r="AO15" s="412" t="str">
        <f t="shared" si="12"/>
        <v/>
      </c>
      <c r="AP15" s="412" t="str">
        <f t="shared" si="13"/>
        <v/>
      </c>
      <c r="AQ15" s="412" t="str">
        <f t="shared" si="14"/>
        <v/>
      </c>
      <c r="AR15" s="414">
        <f t="shared" si="15"/>
        <v>0</v>
      </c>
      <c r="AS15" s="406"/>
    </row>
    <row r="16" spans="1:45" s="394" customFormat="1" ht="11.25" x14ac:dyDescent="0.2">
      <c r="A16" s="398" t="str">
        <f>IF(ISBLANK('R&amp;R Generic Detailed Budget'!B25),"",'R&amp;R Generic Detailed Budget'!B25)</f>
        <v/>
      </c>
      <c r="B16" s="399">
        <f>IFERROR(VLOOKUP($A16,'R&amp;R Generic Detailed Budget'!$B$13:$D$52, 2, FALSE),0)</f>
        <v>0</v>
      </c>
      <c r="C16" s="399">
        <f>IFERROR(VLOOKUP($A16,'R&amp;R Generic Detailed Budget'!$B$13:$D$52, 3, FALSE),0)</f>
        <v>0</v>
      </c>
      <c r="D16" s="401">
        <f t="shared" si="2"/>
        <v>0</v>
      </c>
      <c r="E16" s="400">
        <f t="shared" si="0"/>
        <v>0</v>
      </c>
      <c r="F16" s="425"/>
      <c r="G16" s="413" t="str">
        <f>IF(ISBLANK('R&amp;R Generic Detailed Budget'!$E25),"0",'R&amp;R Generic Detailed Budget'!$E25)</f>
        <v>0</v>
      </c>
      <c r="H16" s="412">
        <f>IF('R&amp;R Generic Detailed Budget'!$A$1&gt;1,ROUND((G16*'R&amp;R Generic Detailed Budget'!$V$15),0),0)</f>
        <v>0</v>
      </c>
      <c r="I16" s="412">
        <f>IF('R&amp;R Generic Detailed Budget'!$A$1&gt;2,ROUND((H16*'R&amp;R Generic Detailed Budget'!$V$15),0),0)</f>
        <v>0</v>
      </c>
      <c r="J16" s="412">
        <f>IF('R&amp;R Generic Detailed Budget'!$A$1&gt;3,ROUND((I16*'R&amp;R Generic Detailed Budget'!$V$15),0),0)</f>
        <v>0</v>
      </c>
      <c r="K16" s="412">
        <f>IF('R&amp;R Generic Detailed Budget'!$A$1&gt;4,ROUND((J16*'R&amp;R Generic Detailed Budget'!$V$15),0),0)</f>
        <v>0</v>
      </c>
      <c r="L16" s="406"/>
      <c r="M16" s="402" t="str">
        <f>IF(ISBLANK('R&amp;R Generic Detailed Budget'!$F25),"",'R&amp;R Generic Detailed Budget'!$F25)</f>
        <v/>
      </c>
      <c r="N16" s="402" t="str">
        <f>IF(ISBLANK('R&amp;R Generic Detailed Budget'!$G25),"",'R&amp;R Generic Detailed Budget'!$G25)</f>
        <v/>
      </c>
      <c r="O16" s="402" t="str">
        <f>IF(ISBLANK('R&amp;R Generic Detailed Budget'!$H25),"",'R&amp;R Generic Detailed Budget'!$H25)</f>
        <v/>
      </c>
      <c r="P16" s="402" t="str">
        <f>IF(ISBLANK('R&amp;R Generic Detailed Budget'!$I25),"",'R&amp;R Generic Detailed Budget'!$I25)</f>
        <v/>
      </c>
      <c r="Q16" s="402" t="str">
        <f>IF(ISBLANK('R&amp;R Generic Detailed Budget'!$J25),"",'R&amp;R Generic Detailed Budget'!$J25)</f>
        <v/>
      </c>
      <c r="R16" s="406"/>
      <c r="S16" s="417" t="str">
        <f t="shared" si="3"/>
        <v/>
      </c>
      <c r="T16" s="417" t="str">
        <f t="shared" si="4"/>
        <v/>
      </c>
      <c r="U16" s="417" t="str">
        <f t="shared" si="5"/>
        <v/>
      </c>
      <c r="V16" s="417" t="str">
        <f t="shared" si="6"/>
        <v/>
      </c>
      <c r="W16" s="417" t="str">
        <f t="shared" si="7"/>
        <v/>
      </c>
      <c r="X16" s="412">
        <f t="shared" si="8"/>
        <v>0</v>
      </c>
      <c r="Y16" s="406"/>
      <c r="Z16" s="412">
        <f>IF(ISBLANK('R&amp;R Generic Detailed Budget'!$L25),"",'R&amp;R Generic Detailed Budget'!$L25)</f>
        <v>0</v>
      </c>
      <c r="AA16" s="412">
        <f>IF(ISBLANK('R&amp;R Generic Detailed Budget'!$M25),"",'R&amp;R Generic Detailed Budget'!$M25)</f>
        <v>0</v>
      </c>
      <c r="AB16" s="412">
        <f>IF(ISBLANK('R&amp;R Generic Detailed Budget'!$N25),"",'R&amp;R Generic Detailed Budget'!$N25)</f>
        <v>0</v>
      </c>
      <c r="AC16" s="412">
        <f>IF(ISBLANK('R&amp;R Generic Detailed Budget'!$O25),"",'R&amp;R Generic Detailed Budget'!$O25)</f>
        <v>0</v>
      </c>
      <c r="AD16" s="412">
        <f>IF(ISBLANK('R&amp;R Generic Detailed Budget'!$P25),"",'R&amp;R Generic Detailed Budget'!$P25)</f>
        <v>0</v>
      </c>
      <c r="AE16" s="412">
        <f t="shared" si="9"/>
        <v>0</v>
      </c>
      <c r="AF16" s="406"/>
      <c r="AG16" s="404" t="str">
        <f t="shared" si="1"/>
        <v/>
      </c>
      <c r="AH16" s="404" t="str">
        <f>IF('R&amp;R Generic Detailed Budget'!$A$1&gt;1,IF($A16="","",VLOOKUP($D16,OPE_Rates,3,FALSE)),0)</f>
        <v/>
      </c>
      <c r="AI16" s="404" t="str">
        <f>IF('R&amp;R Generic Detailed Budget'!$A$1&gt;2,IF($A16="","",VLOOKUP($D16,OPE_Rates,4,FALSE)),0)</f>
        <v/>
      </c>
      <c r="AJ16" s="404" t="str">
        <f>IF('R&amp;R Generic Detailed Budget'!$A$1&gt;3,IF($A16="","",VLOOKUP($D16,OPE_Rates,5,FALSE)),"")</f>
        <v/>
      </c>
      <c r="AK16" s="404" t="str">
        <f>IF('R&amp;R Generic Detailed Budget'!$A$1&gt;3,IF($A16="","",VLOOKUP($D16,OPE_Rates,6,FALSE)),"")</f>
        <v/>
      </c>
      <c r="AL16" s="406"/>
      <c r="AM16" s="412" t="str">
        <f t="shared" si="10"/>
        <v/>
      </c>
      <c r="AN16" s="412" t="str">
        <f t="shared" si="11"/>
        <v/>
      </c>
      <c r="AO16" s="412" t="str">
        <f t="shared" si="12"/>
        <v/>
      </c>
      <c r="AP16" s="412" t="str">
        <f t="shared" si="13"/>
        <v/>
      </c>
      <c r="AQ16" s="412" t="str">
        <f t="shared" si="14"/>
        <v/>
      </c>
      <c r="AR16" s="414">
        <f t="shared" si="15"/>
        <v>0</v>
      </c>
      <c r="AS16" s="406"/>
    </row>
    <row r="17" spans="1:45" s="394" customFormat="1" ht="11.25" x14ac:dyDescent="0.2">
      <c r="A17" s="398" t="str">
        <f>IF(ISBLANK('R&amp;R Generic Detailed Budget'!B26),"",'R&amp;R Generic Detailed Budget'!B26)</f>
        <v/>
      </c>
      <c r="B17" s="399">
        <f>IFERROR(VLOOKUP($A17,'R&amp;R Generic Detailed Budget'!$B$13:$D$52, 2, FALSE),0)</f>
        <v>0</v>
      </c>
      <c r="C17" s="399">
        <f>IFERROR(VLOOKUP($A17,'R&amp;R Generic Detailed Budget'!$B$13:$D$52, 3, FALSE),0)</f>
        <v>0</v>
      </c>
      <c r="D17" s="401">
        <f t="shared" si="2"/>
        <v>0</v>
      </c>
      <c r="E17" s="400">
        <f t="shared" si="0"/>
        <v>0</v>
      </c>
      <c r="F17" s="425"/>
      <c r="G17" s="413" t="str">
        <f>IF(ISBLANK('R&amp;R Generic Detailed Budget'!$E26),"0",'R&amp;R Generic Detailed Budget'!$E26)</f>
        <v>0</v>
      </c>
      <c r="H17" s="412">
        <f>IF('R&amp;R Generic Detailed Budget'!$A$1&gt;1,ROUND((G17*'R&amp;R Generic Detailed Budget'!$V$15),0),0)</f>
        <v>0</v>
      </c>
      <c r="I17" s="412">
        <f>IF('R&amp;R Generic Detailed Budget'!$A$1&gt;2,ROUND((H17*'R&amp;R Generic Detailed Budget'!$V$15),0),0)</f>
        <v>0</v>
      </c>
      <c r="J17" s="412">
        <f>IF('R&amp;R Generic Detailed Budget'!$A$1&gt;3,ROUND((I17*'R&amp;R Generic Detailed Budget'!$V$15),0),0)</f>
        <v>0</v>
      </c>
      <c r="K17" s="412">
        <f>IF('R&amp;R Generic Detailed Budget'!$A$1&gt;4,ROUND((J17*'R&amp;R Generic Detailed Budget'!$V$15),0),0)</f>
        <v>0</v>
      </c>
      <c r="L17" s="406"/>
      <c r="M17" s="402" t="str">
        <f>IF(ISBLANK('R&amp;R Generic Detailed Budget'!$F26),"",'R&amp;R Generic Detailed Budget'!$F26)</f>
        <v/>
      </c>
      <c r="N17" s="402" t="str">
        <f>IF(ISBLANK('R&amp;R Generic Detailed Budget'!$G26),"",'R&amp;R Generic Detailed Budget'!$G26)</f>
        <v/>
      </c>
      <c r="O17" s="402" t="str">
        <f>IF(ISBLANK('R&amp;R Generic Detailed Budget'!$H26),"",'R&amp;R Generic Detailed Budget'!$H26)</f>
        <v/>
      </c>
      <c r="P17" s="402" t="str">
        <f>IF(ISBLANK('R&amp;R Generic Detailed Budget'!$I26),"",'R&amp;R Generic Detailed Budget'!$I26)</f>
        <v/>
      </c>
      <c r="Q17" s="402" t="str">
        <f>IF(ISBLANK('R&amp;R Generic Detailed Budget'!$J26),"",'R&amp;R Generic Detailed Budget'!$J26)</f>
        <v/>
      </c>
      <c r="R17" s="406"/>
      <c r="S17" s="417" t="str">
        <f t="shared" si="3"/>
        <v/>
      </c>
      <c r="T17" s="417" t="str">
        <f t="shared" si="4"/>
        <v/>
      </c>
      <c r="U17" s="417" t="str">
        <f t="shared" si="5"/>
        <v/>
      </c>
      <c r="V17" s="417" t="str">
        <f t="shared" si="6"/>
        <v/>
      </c>
      <c r="W17" s="417" t="str">
        <f t="shared" si="7"/>
        <v/>
      </c>
      <c r="X17" s="412">
        <f t="shared" si="8"/>
        <v>0</v>
      </c>
      <c r="Y17" s="406"/>
      <c r="Z17" s="412">
        <f>IF(ISBLANK('R&amp;R Generic Detailed Budget'!$L26),"",'R&amp;R Generic Detailed Budget'!$L26)</f>
        <v>0</v>
      </c>
      <c r="AA17" s="412">
        <f>IF(ISBLANK('R&amp;R Generic Detailed Budget'!$M26),"",'R&amp;R Generic Detailed Budget'!$M26)</f>
        <v>0</v>
      </c>
      <c r="AB17" s="412">
        <f>IF(ISBLANK('R&amp;R Generic Detailed Budget'!$N26),"",'R&amp;R Generic Detailed Budget'!$N26)</f>
        <v>0</v>
      </c>
      <c r="AC17" s="412">
        <f>IF(ISBLANK('R&amp;R Generic Detailed Budget'!$O26),"",'R&amp;R Generic Detailed Budget'!$O26)</f>
        <v>0</v>
      </c>
      <c r="AD17" s="412">
        <f>IF(ISBLANK('R&amp;R Generic Detailed Budget'!$P26),"",'R&amp;R Generic Detailed Budget'!$P26)</f>
        <v>0</v>
      </c>
      <c r="AE17" s="412">
        <f t="shared" si="9"/>
        <v>0</v>
      </c>
      <c r="AF17" s="406"/>
      <c r="AG17" s="404" t="str">
        <f t="shared" si="1"/>
        <v/>
      </c>
      <c r="AH17" s="404" t="str">
        <f>IF('R&amp;R Generic Detailed Budget'!$A$1&gt;1,IF($A17="","",VLOOKUP($D17,OPE_Rates,3,FALSE)),0)</f>
        <v/>
      </c>
      <c r="AI17" s="404" t="str">
        <f>IF('R&amp;R Generic Detailed Budget'!$A$1&gt;2,IF($A17="","",VLOOKUP($D17,OPE_Rates,4,FALSE)),0)</f>
        <v/>
      </c>
      <c r="AJ17" s="404" t="str">
        <f>IF('R&amp;R Generic Detailed Budget'!$A$1&gt;3,IF($A17="","",VLOOKUP($D17,OPE_Rates,5,FALSE)),"")</f>
        <v/>
      </c>
      <c r="AK17" s="404" t="str">
        <f>IF('R&amp;R Generic Detailed Budget'!$A$1&gt;3,IF($A17="","",VLOOKUP($D17,OPE_Rates,6,FALSE)),"")</f>
        <v/>
      </c>
      <c r="AL17" s="406"/>
      <c r="AM17" s="412" t="str">
        <f t="shared" si="10"/>
        <v/>
      </c>
      <c r="AN17" s="412" t="str">
        <f t="shared" si="11"/>
        <v/>
      </c>
      <c r="AO17" s="412" t="str">
        <f t="shared" si="12"/>
        <v/>
      </c>
      <c r="AP17" s="412" t="str">
        <f t="shared" si="13"/>
        <v/>
      </c>
      <c r="AQ17" s="412" t="str">
        <f t="shared" si="14"/>
        <v/>
      </c>
      <c r="AR17" s="414">
        <f t="shared" si="15"/>
        <v>0</v>
      </c>
      <c r="AS17" s="406"/>
    </row>
    <row r="18" spans="1:45" s="394" customFormat="1" ht="11.25" x14ac:dyDescent="0.2">
      <c r="A18" s="398" t="str">
        <f>IF(ISBLANK('R&amp;R Generic Detailed Budget'!B27),"",'R&amp;R Generic Detailed Budget'!B27)</f>
        <v/>
      </c>
      <c r="B18" s="399">
        <f>IFERROR(VLOOKUP($A18,'R&amp;R Generic Detailed Budget'!$B$13:$D$52, 2, FALSE),0)</f>
        <v>0</v>
      </c>
      <c r="C18" s="399">
        <f>IFERROR(VLOOKUP($A18,'R&amp;R Generic Detailed Budget'!$B$13:$D$52, 3, FALSE),0)</f>
        <v>0</v>
      </c>
      <c r="D18" s="401">
        <f t="shared" si="2"/>
        <v>0</v>
      </c>
      <c r="E18" s="400">
        <f t="shared" si="0"/>
        <v>0</v>
      </c>
      <c r="F18" s="425"/>
      <c r="G18" s="413" t="str">
        <f>IF(ISBLANK('R&amp;R Generic Detailed Budget'!$E27),"0",'R&amp;R Generic Detailed Budget'!$E27)</f>
        <v>0</v>
      </c>
      <c r="H18" s="412">
        <f>IF('R&amp;R Generic Detailed Budget'!$A$1&gt;1,ROUND((G18*'R&amp;R Generic Detailed Budget'!$V$15),0),0)</f>
        <v>0</v>
      </c>
      <c r="I18" s="412">
        <f>IF('R&amp;R Generic Detailed Budget'!$A$1&gt;2,ROUND((H18*'R&amp;R Generic Detailed Budget'!$V$15),0),0)</f>
        <v>0</v>
      </c>
      <c r="J18" s="412">
        <f>IF('R&amp;R Generic Detailed Budget'!$A$1&gt;3,ROUND((I18*'R&amp;R Generic Detailed Budget'!$V$15),0),0)</f>
        <v>0</v>
      </c>
      <c r="K18" s="412">
        <f>IF('R&amp;R Generic Detailed Budget'!$A$1&gt;4,ROUND((J18*'R&amp;R Generic Detailed Budget'!$V$15),0),0)</f>
        <v>0</v>
      </c>
      <c r="L18" s="406"/>
      <c r="M18" s="402" t="str">
        <f>IF(ISBLANK('R&amp;R Generic Detailed Budget'!$F27),"",'R&amp;R Generic Detailed Budget'!$F27)</f>
        <v/>
      </c>
      <c r="N18" s="402" t="str">
        <f>IF(ISBLANK('R&amp;R Generic Detailed Budget'!$G27),"",'R&amp;R Generic Detailed Budget'!$G27)</f>
        <v/>
      </c>
      <c r="O18" s="402" t="str">
        <f>IF(ISBLANK('R&amp;R Generic Detailed Budget'!$H27),"",'R&amp;R Generic Detailed Budget'!$H27)</f>
        <v/>
      </c>
      <c r="P18" s="402" t="str">
        <f>IF(ISBLANK('R&amp;R Generic Detailed Budget'!$I27),"",'R&amp;R Generic Detailed Budget'!$I27)</f>
        <v/>
      </c>
      <c r="Q18" s="402" t="str">
        <f>IF(ISBLANK('R&amp;R Generic Detailed Budget'!$J27),"",'R&amp;R Generic Detailed Budget'!$J27)</f>
        <v/>
      </c>
      <c r="R18" s="406"/>
      <c r="S18" s="417" t="str">
        <f t="shared" si="3"/>
        <v/>
      </c>
      <c r="T18" s="417" t="str">
        <f t="shared" si="4"/>
        <v/>
      </c>
      <c r="U18" s="417" t="str">
        <f t="shared" si="5"/>
        <v/>
      </c>
      <c r="V18" s="417" t="str">
        <f t="shared" si="6"/>
        <v/>
      </c>
      <c r="W18" s="417" t="str">
        <f t="shared" si="7"/>
        <v/>
      </c>
      <c r="X18" s="412">
        <f t="shared" si="8"/>
        <v>0</v>
      </c>
      <c r="Y18" s="406"/>
      <c r="Z18" s="412">
        <f>IF(ISBLANK('R&amp;R Generic Detailed Budget'!$L27),"",'R&amp;R Generic Detailed Budget'!$L27)</f>
        <v>0</v>
      </c>
      <c r="AA18" s="412">
        <f>IF(ISBLANK('R&amp;R Generic Detailed Budget'!$M27),"",'R&amp;R Generic Detailed Budget'!$M27)</f>
        <v>0</v>
      </c>
      <c r="AB18" s="412">
        <f>IF(ISBLANK('R&amp;R Generic Detailed Budget'!$N27),"",'R&amp;R Generic Detailed Budget'!$N27)</f>
        <v>0</v>
      </c>
      <c r="AC18" s="412">
        <f>IF(ISBLANK('R&amp;R Generic Detailed Budget'!$O27),"",'R&amp;R Generic Detailed Budget'!$O27)</f>
        <v>0</v>
      </c>
      <c r="AD18" s="412">
        <f>IF(ISBLANK('R&amp;R Generic Detailed Budget'!$P27),"",'R&amp;R Generic Detailed Budget'!$P27)</f>
        <v>0</v>
      </c>
      <c r="AE18" s="412">
        <f t="shared" si="9"/>
        <v>0</v>
      </c>
      <c r="AF18" s="406"/>
      <c r="AG18" s="404" t="str">
        <f t="shared" si="1"/>
        <v/>
      </c>
      <c r="AH18" s="404" t="str">
        <f>IF('R&amp;R Generic Detailed Budget'!$A$1&gt;1,IF($A18="","",VLOOKUP($D18,OPE_Rates,3,FALSE)),0)</f>
        <v/>
      </c>
      <c r="AI18" s="404" t="str">
        <f>IF('R&amp;R Generic Detailed Budget'!$A$1&gt;2,IF($A18="","",VLOOKUP($D18,OPE_Rates,4,FALSE)),0)</f>
        <v/>
      </c>
      <c r="AJ18" s="404" t="str">
        <f>IF('R&amp;R Generic Detailed Budget'!$A$1&gt;3,IF($A18="","",VLOOKUP($D18,OPE_Rates,5,FALSE)),"")</f>
        <v/>
      </c>
      <c r="AK18" s="404" t="str">
        <f>IF('R&amp;R Generic Detailed Budget'!$A$1&gt;3,IF($A18="","",VLOOKUP($D18,OPE_Rates,6,FALSE)),"")</f>
        <v/>
      </c>
      <c r="AL18" s="406"/>
      <c r="AM18" s="412" t="str">
        <f t="shared" si="10"/>
        <v/>
      </c>
      <c r="AN18" s="412" t="str">
        <f t="shared" si="11"/>
        <v/>
      </c>
      <c r="AO18" s="412" t="str">
        <f t="shared" si="12"/>
        <v/>
      </c>
      <c r="AP18" s="412" t="str">
        <f t="shared" si="13"/>
        <v/>
      </c>
      <c r="AQ18" s="412" t="str">
        <f t="shared" si="14"/>
        <v/>
      </c>
      <c r="AR18" s="414">
        <f t="shared" si="15"/>
        <v>0</v>
      </c>
      <c r="AS18" s="406"/>
    </row>
    <row r="19" spans="1:45" s="394" customFormat="1" ht="11.25" x14ac:dyDescent="0.2">
      <c r="A19" s="398"/>
      <c r="B19" s="399">
        <f>IFERROR(VLOOKUP($A19,'R&amp;R Generic Detailed Budget'!$B$13:$D$52, 2, FALSE),0)</f>
        <v>0</v>
      </c>
      <c r="C19" s="399">
        <f>IFERROR(VLOOKUP($A19,'R&amp;R Generic Detailed Budget'!$B$13:$D$52, 3, FALSE),0)</f>
        <v>0</v>
      </c>
      <c r="D19" s="401">
        <f t="shared" si="2"/>
        <v>0</v>
      </c>
      <c r="E19" s="400">
        <f t="shared" si="0"/>
        <v>0</v>
      </c>
      <c r="F19" s="425"/>
      <c r="G19" s="413"/>
      <c r="H19" s="412"/>
      <c r="I19" s="412"/>
      <c r="J19" s="412"/>
      <c r="K19" s="412"/>
      <c r="L19" s="406"/>
      <c r="M19" s="402"/>
      <c r="N19" s="402"/>
      <c r="O19" s="402"/>
      <c r="P19" s="402"/>
      <c r="Q19" s="402"/>
      <c r="R19" s="406"/>
      <c r="S19" s="417"/>
      <c r="T19" s="417"/>
      <c r="U19" s="417"/>
      <c r="V19" s="417"/>
      <c r="W19" s="417"/>
      <c r="X19" s="412">
        <f t="shared" si="8"/>
        <v>0</v>
      </c>
      <c r="Y19" s="406"/>
      <c r="Z19" s="402" t="str">
        <f>IF(ISBLANK('R&amp;R Generic Detailed Budget'!$L28),"",'R&amp;R Generic Detailed Budget'!$L28)</f>
        <v/>
      </c>
      <c r="AA19" s="402" t="str">
        <f>IF(ISBLANK('R&amp;R Generic Detailed Budget'!$M28),"",'R&amp;R Generic Detailed Budget'!$M28)</f>
        <v/>
      </c>
      <c r="AB19" s="402" t="str">
        <f>IF(ISBLANK('R&amp;R Generic Detailed Budget'!$N28),"",'R&amp;R Generic Detailed Budget'!$N28)</f>
        <v/>
      </c>
      <c r="AC19" s="402" t="str">
        <f>IF(ISBLANK('R&amp;R Generic Detailed Budget'!$O28),"",'R&amp;R Generic Detailed Budget'!$O28)</f>
        <v/>
      </c>
      <c r="AD19" s="402" t="str">
        <f>IF(ISBLANK('R&amp;R Generic Detailed Budget'!$P28),"",'R&amp;R Generic Detailed Budget'!$P28)</f>
        <v/>
      </c>
      <c r="AE19" s="412">
        <f t="shared" si="9"/>
        <v>0</v>
      </c>
      <c r="AF19" s="406"/>
      <c r="AG19" s="404" t="str">
        <f t="shared" si="1"/>
        <v/>
      </c>
      <c r="AH19" s="404" t="str">
        <f>IF('R&amp;R Generic Detailed Budget'!$A$1&gt;1,IF($A19="","",VLOOKUP($D19,OPE_Rates,3,FALSE)),0)</f>
        <v/>
      </c>
      <c r="AI19" s="404" t="str">
        <f>IF('R&amp;R Generic Detailed Budget'!$A$1&gt;2,IF($A19="","",VLOOKUP($D19,OPE_Rates,3,FALSE)),0)</f>
        <v/>
      </c>
      <c r="AJ19" s="404" t="str">
        <f>IF('R&amp;R Generic Detailed Budget'!$A$1&gt;3,IF($A19="","",VLOOKUP($D19,OPE_Rates,3,FALSE)),"")</f>
        <v/>
      </c>
      <c r="AK19" s="404" t="str">
        <f>IF('R&amp;R Generic Detailed Budget'!$A$1&gt;3,IF($A19="","",VLOOKUP($D19,OPE_Rates,3,FALSE)),"")</f>
        <v/>
      </c>
      <c r="AL19" s="406"/>
      <c r="AM19" s="412" t="str">
        <f t="shared" si="10"/>
        <v/>
      </c>
      <c r="AN19" s="412" t="str">
        <f t="shared" si="11"/>
        <v/>
      </c>
      <c r="AO19" s="412" t="str">
        <f t="shared" si="12"/>
        <v/>
      </c>
      <c r="AP19" s="412" t="str">
        <f t="shared" si="13"/>
        <v/>
      </c>
      <c r="AQ19" s="412" t="str">
        <f t="shared" si="14"/>
        <v/>
      </c>
      <c r="AR19" s="414">
        <f t="shared" si="15"/>
        <v>0</v>
      </c>
      <c r="AS19" s="406"/>
    </row>
    <row r="20" spans="1:45" s="394" customFormat="1" ht="22.15" customHeight="1" x14ac:dyDescent="0.2">
      <c r="A20" s="395" t="s">
        <v>33</v>
      </c>
      <c r="B20" s="396"/>
      <c r="C20" s="396"/>
      <c r="D20" s="396"/>
      <c r="E20" s="396"/>
      <c r="F20" s="425"/>
      <c r="G20" s="411" t="s">
        <v>306</v>
      </c>
      <c r="H20" s="411" t="s">
        <v>307</v>
      </c>
      <c r="I20" s="411" t="s">
        <v>308</v>
      </c>
      <c r="J20" s="411" t="s">
        <v>309</v>
      </c>
      <c r="K20" s="411" t="s">
        <v>310</v>
      </c>
      <c r="L20" s="396"/>
      <c r="M20" s="411" t="s">
        <v>285</v>
      </c>
      <c r="N20" s="411" t="s">
        <v>286</v>
      </c>
      <c r="O20" s="411" t="s">
        <v>287</v>
      </c>
      <c r="P20" s="411" t="s">
        <v>288</v>
      </c>
      <c r="Q20" s="411" t="s">
        <v>289</v>
      </c>
      <c r="R20" s="411"/>
      <c r="S20" s="411" t="s">
        <v>360</v>
      </c>
      <c r="T20" s="411" t="s">
        <v>361</v>
      </c>
      <c r="U20" s="411" t="s">
        <v>362</v>
      </c>
      <c r="V20" s="411" t="s">
        <v>363</v>
      </c>
      <c r="W20" s="411" t="s">
        <v>364</v>
      </c>
      <c r="X20" s="411" t="s">
        <v>365</v>
      </c>
      <c r="Y20" s="411"/>
      <c r="Z20" s="411" t="s">
        <v>311</v>
      </c>
      <c r="AA20" s="411" t="s">
        <v>312</v>
      </c>
      <c r="AB20" s="411" t="s">
        <v>313</v>
      </c>
      <c r="AC20" s="411" t="s">
        <v>314</v>
      </c>
      <c r="AD20" s="411" t="s">
        <v>315</v>
      </c>
      <c r="AE20" s="411" t="s">
        <v>331</v>
      </c>
      <c r="AF20" s="411" t="s">
        <v>330</v>
      </c>
      <c r="AG20" s="411" t="s">
        <v>317</v>
      </c>
      <c r="AH20" s="411" t="s">
        <v>318</v>
      </c>
      <c r="AI20" s="411" t="s">
        <v>319</v>
      </c>
      <c r="AJ20" s="411" t="s">
        <v>320</v>
      </c>
      <c r="AK20" s="411" t="s">
        <v>321</v>
      </c>
      <c r="AL20" s="411" t="s">
        <v>326</v>
      </c>
      <c r="AM20" s="411" t="s">
        <v>316</v>
      </c>
      <c r="AN20" s="411" t="s">
        <v>322</v>
      </c>
      <c r="AO20" s="411" t="s">
        <v>323</v>
      </c>
      <c r="AP20" s="411" t="s">
        <v>324</v>
      </c>
      <c r="AQ20" s="411" t="s">
        <v>325</v>
      </c>
      <c r="AR20" s="411" t="s">
        <v>329</v>
      </c>
      <c r="AS20" s="411"/>
    </row>
    <row r="21" spans="1:45" s="394" customFormat="1" ht="11.25" x14ac:dyDescent="0.2">
      <c r="A21" s="398" t="str">
        <f>IF(ISBLANK('R&amp;R Generic Detailed Budget'!B30),"",'R&amp;R Generic Detailed Budget'!B30)</f>
        <v/>
      </c>
      <c r="B21" s="399">
        <f>IFERROR(VLOOKUP($A21,'R&amp;R Generic Detailed Budget'!$B$13:$D$52, 2, FALSE),0)</f>
        <v>0</v>
      </c>
      <c r="C21" s="399">
        <f>IFERROR(VLOOKUP($A21,'R&amp;R Generic Detailed Budget'!$B$30:$D$45, 3, FALSE),0)</f>
        <v>0</v>
      </c>
      <c r="D21" s="401">
        <f t="shared" ref="D21:D26" si="16">IFERROR(VLOOKUP($C21,EmployeeClass, 2, FALSE),0)</f>
        <v>0</v>
      </c>
      <c r="E21" s="400">
        <f t="shared" ref="E21:E26" si="17">IFERROR(VLOOKUP($C21,EmployeeClass, 4, FALSE),0)</f>
        <v>0</v>
      </c>
      <c r="F21" s="425"/>
      <c r="G21" s="412" t="str">
        <f>IF(ISBLANK('R&amp;R Generic Detailed Budget'!$E30),"0",'R&amp;R Generic Detailed Budget'!$E30)</f>
        <v>0</v>
      </c>
      <c r="H21" s="412">
        <f>IF('R&amp;R Generic Detailed Budget'!$A$1&gt;1,ROUND((G21*'R&amp;R Generic Detailed Budget'!$V$15),0),0)</f>
        <v>0</v>
      </c>
      <c r="I21" s="412">
        <f>IF('R&amp;R Generic Detailed Budget'!$A$1&gt;2,ROUND((H21*'R&amp;R Generic Detailed Budget'!$V$15),0),0)</f>
        <v>0</v>
      </c>
      <c r="J21" s="412">
        <f>IF('R&amp;R Generic Detailed Budget'!$A$1&gt;3,ROUND((I21*'R&amp;R Generic Detailed Budget'!$V$15),0),0)</f>
        <v>0</v>
      </c>
      <c r="K21" s="412">
        <f>IF('R&amp;R Generic Detailed Budget'!$A$1&gt;4,ROUND((J21*'R&amp;R Generic Detailed Budget'!$V$15),0),0)</f>
        <v>0</v>
      </c>
      <c r="L21" s="406"/>
      <c r="M21" s="402" t="str">
        <f>IF(ISBLANK('R&amp;R Generic Detailed Budget'!$F30),"",'R&amp;R Generic Detailed Budget'!$F30)</f>
        <v/>
      </c>
      <c r="N21" s="402" t="str">
        <f>IF(ISBLANK('R&amp;R Generic Detailed Budget'!$G30),"",'R&amp;R Generic Detailed Budget'!$G30)</f>
        <v/>
      </c>
      <c r="O21" s="402" t="str">
        <f>IF(ISBLANK('R&amp;R Generic Detailed Budget'!$H30),"",'R&amp;R Generic Detailed Budget'!$H30)</f>
        <v/>
      </c>
      <c r="P21" s="402" t="str">
        <f>IF(ISBLANK('R&amp;R Generic Detailed Budget'!$I30),"",'R&amp;R Generic Detailed Budget'!$I30)</f>
        <v/>
      </c>
      <c r="Q21" s="402" t="str">
        <f>IF(ISBLANK('R&amp;R Generic Detailed Budget'!$J30),"",'R&amp;R Generic Detailed Budget'!$J30)</f>
        <v/>
      </c>
      <c r="R21" s="406"/>
      <c r="S21" s="417" t="str">
        <f>IFERROR($E21*M21,"")</f>
        <v/>
      </c>
      <c r="T21" s="417" t="str">
        <f>IFERROR($E21*N21,"")</f>
        <v/>
      </c>
      <c r="U21" s="417" t="str">
        <f t="shared" ref="S21:W26" si="18">IFERROR($E21*O21,"")</f>
        <v/>
      </c>
      <c r="V21" s="417" t="str">
        <f t="shared" si="18"/>
        <v/>
      </c>
      <c r="W21" s="417" t="str">
        <f t="shared" si="18"/>
        <v/>
      </c>
      <c r="X21" s="417">
        <f>SUM(S21:W21)</f>
        <v>0</v>
      </c>
      <c r="Y21" s="406"/>
      <c r="Z21" s="412">
        <f>IF(ISBLANK('R&amp;R Generic Detailed Budget'!$L30),"",'R&amp;R Generic Detailed Budget'!$L30)</f>
        <v>0</v>
      </c>
      <c r="AA21" s="412">
        <f>IF(ISBLANK('R&amp;R Generic Detailed Budget'!$M30),"",'R&amp;R Generic Detailed Budget'!$M30)</f>
        <v>0</v>
      </c>
      <c r="AB21" s="412">
        <f>IF(ISBLANK('R&amp;R Generic Detailed Budget'!$N30),"",'R&amp;R Generic Detailed Budget'!$N30)</f>
        <v>0</v>
      </c>
      <c r="AC21" s="412">
        <f>IF(ISBLANK('R&amp;R Generic Detailed Budget'!$O30),"",'R&amp;R Generic Detailed Budget'!$O30)</f>
        <v>0</v>
      </c>
      <c r="AD21" s="412">
        <f>IF(ISBLANK('R&amp;R Generic Detailed Budget'!$P30),"",'R&amp;R Generic Detailed Budget'!$P30)</f>
        <v>0</v>
      </c>
      <c r="AE21" s="414">
        <f t="shared" si="9"/>
        <v>0</v>
      </c>
      <c r="AF21" s="406"/>
      <c r="AG21" s="404" t="str">
        <f t="shared" ref="AG21:AG26" si="19">IF($A21="","",VLOOKUP($D21,OPE_Rates,2,FALSE))</f>
        <v/>
      </c>
      <c r="AH21" s="404" t="str">
        <f>IF('R&amp;R Generic Detailed Budget'!$A$1&gt;1,IF($A21="","",VLOOKUP($D21,OPE_Rates,3,FALSE)),0)</f>
        <v/>
      </c>
      <c r="AI21" s="404" t="str">
        <f>IF('R&amp;R Generic Detailed Budget'!$A$1&gt;2,IF($A21="","",VLOOKUP($D21,OPE_Rates,4,FALSE)),0)</f>
        <v/>
      </c>
      <c r="AJ21" s="404" t="str">
        <f>IF('R&amp;R Generic Detailed Budget'!$A$1&gt;3,IF($A21="","",VLOOKUP($D21,OPE_Rates,5,FALSE)),"")</f>
        <v/>
      </c>
      <c r="AK21" s="404" t="str">
        <f>IF('R&amp;R Generic Detailed Budget'!$A$1&gt;3,IF($A21="","",VLOOKUP($D21,OPE_Rates,6,FALSE)),"")</f>
        <v/>
      </c>
      <c r="AL21" s="406"/>
      <c r="AM21" s="412" t="str">
        <f t="shared" ref="AM21:AQ26" si="20">IFERROR(ROUND(IF(AG21="","",Z21*AG21),0),"")</f>
        <v/>
      </c>
      <c r="AN21" s="412" t="str">
        <f t="shared" si="20"/>
        <v/>
      </c>
      <c r="AO21" s="412" t="str">
        <f t="shared" si="20"/>
        <v/>
      </c>
      <c r="AP21" s="412" t="str">
        <f t="shared" si="20"/>
        <v/>
      </c>
      <c r="AQ21" s="412" t="str">
        <f t="shared" si="20"/>
        <v/>
      </c>
      <c r="AR21" s="414">
        <f t="shared" si="15"/>
        <v>0</v>
      </c>
      <c r="AS21" s="406"/>
    </row>
    <row r="22" spans="1:45" s="394" customFormat="1" ht="11.25" x14ac:dyDescent="0.2">
      <c r="A22" s="398" t="str">
        <f>IF(ISBLANK('R&amp;R Generic Detailed Budget'!B31),"",'R&amp;R Generic Detailed Budget'!B31)</f>
        <v/>
      </c>
      <c r="B22" s="399">
        <f>IFERROR(VLOOKUP($A22,'R&amp;R Generic Detailed Budget'!$B$13:$D$52, 2, FALSE),0)</f>
        <v>0</v>
      </c>
      <c r="C22" s="399" t="str">
        <f>IFERROR(VLOOKUP($A22,'R&amp;R Generic Detailed Budget'!$B$30:$D$45, 3, FALSE),"")</f>
        <v/>
      </c>
      <c r="D22" s="401">
        <f t="shared" si="16"/>
        <v>0</v>
      </c>
      <c r="E22" s="400">
        <f t="shared" si="17"/>
        <v>0</v>
      </c>
      <c r="F22" s="425"/>
      <c r="G22" s="413" t="str">
        <f>IF(ISBLANK('R&amp;R Generic Detailed Budget'!E31),"0",'R&amp;R Generic Detailed Budget'!E31)</f>
        <v>0</v>
      </c>
      <c r="H22" s="412">
        <f>IF('R&amp;R Generic Detailed Budget'!$A$1&gt;1,ROUND((G22*'R&amp;R Generic Detailed Budget'!$V$15),0),0)</f>
        <v>0</v>
      </c>
      <c r="I22" s="412">
        <f>IF('R&amp;R Generic Detailed Budget'!$A$1&gt;2,ROUND((H22*'R&amp;R Generic Detailed Budget'!$V$15),0),0)</f>
        <v>0</v>
      </c>
      <c r="J22" s="412">
        <f>IF('R&amp;R Generic Detailed Budget'!$A$1&gt;3,ROUND((I22*'R&amp;R Generic Detailed Budget'!$V$15),0),0)</f>
        <v>0</v>
      </c>
      <c r="K22" s="412">
        <f>IF('R&amp;R Generic Detailed Budget'!$A$1&gt;4,ROUND((J22*'R&amp;R Generic Detailed Budget'!$V$15),0),0)</f>
        <v>0</v>
      </c>
      <c r="L22" s="406"/>
      <c r="M22" s="402" t="str">
        <f>IF(ISBLANK('R&amp;R Generic Detailed Budget'!$F31),"",'R&amp;R Generic Detailed Budget'!$F31)</f>
        <v/>
      </c>
      <c r="N22" s="402" t="str">
        <f>IF(ISBLANK('R&amp;R Generic Detailed Budget'!$G31),"",'R&amp;R Generic Detailed Budget'!$G31)</f>
        <v/>
      </c>
      <c r="O22" s="402" t="str">
        <f>IF(ISBLANK('R&amp;R Generic Detailed Budget'!$H31),"",'R&amp;R Generic Detailed Budget'!$H31)</f>
        <v/>
      </c>
      <c r="P22" s="402" t="str">
        <f>IF(ISBLANK('R&amp;R Generic Detailed Budget'!$I31),"",'R&amp;R Generic Detailed Budget'!$I31)</f>
        <v/>
      </c>
      <c r="Q22" s="402" t="str">
        <f>IF(ISBLANK('R&amp;R Generic Detailed Budget'!$J31),"",'R&amp;R Generic Detailed Budget'!$J31)</f>
        <v/>
      </c>
      <c r="R22" s="406"/>
      <c r="S22" s="417" t="str">
        <f t="shared" si="18"/>
        <v/>
      </c>
      <c r="T22" s="417" t="str">
        <f>IFERROR($E22*N22,"")</f>
        <v/>
      </c>
      <c r="U22" s="417" t="str">
        <f t="shared" si="18"/>
        <v/>
      </c>
      <c r="V22" s="417" t="str">
        <f t="shared" si="18"/>
        <v/>
      </c>
      <c r="W22" s="417" t="str">
        <f t="shared" si="18"/>
        <v/>
      </c>
      <c r="X22" s="424"/>
      <c r="Y22" s="406"/>
      <c r="Z22" s="412">
        <f>IF(ISBLANK('R&amp;R Generic Detailed Budget'!$L31),"",'R&amp;R Generic Detailed Budget'!$L31)</f>
        <v>0</v>
      </c>
      <c r="AA22" s="412">
        <f>IF(ISBLANK('R&amp;R Generic Detailed Budget'!$M31),"",'R&amp;R Generic Detailed Budget'!$M31)</f>
        <v>0</v>
      </c>
      <c r="AB22" s="412">
        <f>IF(ISBLANK('R&amp;R Generic Detailed Budget'!$N31),"",'R&amp;R Generic Detailed Budget'!$N31)</f>
        <v>0</v>
      </c>
      <c r="AC22" s="412">
        <f>IF(ISBLANK('R&amp;R Generic Detailed Budget'!$O31),"",'R&amp;R Generic Detailed Budget'!$O31)</f>
        <v>0</v>
      </c>
      <c r="AD22" s="412">
        <f>IF(ISBLANK('R&amp;R Generic Detailed Budget'!$P31),"",'R&amp;R Generic Detailed Budget'!$P31)</f>
        <v>0</v>
      </c>
      <c r="AE22" s="414">
        <f t="shared" si="9"/>
        <v>0</v>
      </c>
      <c r="AF22" s="406"/>
      <c r="AG22" s="404" t="str">
        <f t="shared" si="19"/>
        <v/>
      </c>
      <c r="AH22" s="404" t="str">
        <f>IF('R&amp;R Generic Detailed Budget'!$A$1&gt;1,IF($A22="","",VLOOKUP($D22,OPE_Rates,3,FALSE)),0)</f>
        <v/>
      </c>
      <c r="AI22" s="404" t="str">
        <f>IF('R&amp;R Generic Detailed Budget'!$A$1&gt;2,IF($A22="","",VLOOKUP($D22,OPE_Rates,4,FALSE)),0)</f>
        <v/>
      </c>
      <c r="AJ22" s="404" t="str">
        <f>IF('R&amp;R Generic Detailed Budget'!$A$1&gt;3,IF($A22="","",VLOOKUP($D22,OPE_Rates,5,FALSE)),"")</f>
        <v/>
      </c>
      <c r="AK22" s="404" t="str">
        <f>IF('R&amp;R Generic Detailed Budget'!$A$1&gt;3,IF($A22="","",VLOOKUP($D22,OPE_Rates,6,FALSE)),"")</f>
        <v/>
      </c>
      <c r="AL22" s="406"/>
      <c r="AM22" s="412" t="str">
        <f t="shared" si="20"/>
        <v/>
      </c>
      <c r="AN22" s="412" t="str">
        <f t="shared" si="20"/>
        <v/>
      </c>
      <c r="AO22" s="412" t="str">
        <f t="shared" si="20"/>
        <v/>
      </c>
      <c r="AP22" s="412" t="str">
        <f t="shared" si="20"/>
        <v/>
      </c>
      <c r="AQ22" s="412" t="str">
        <f t="shared" si="20"/>
        <v/>
      </c>
      <c r="AR22" s="414">
        <f t="shared" si="15"/>
        <v>0</v>
      </c>
      <c r="AS22" s="406"/>
    </row>
    <row r="23" spans="1:45" s="394" customFormat="1" ht="11.25" x14ac:dyDescent="0.2">
      <c r="A23" s="398" t="str">
        <f>IF(ISBLANK('R&amp;R Generic Detailed Budget'!B32),"",'R&amp;R Generic Detailed Budget'!B32)</f>
        <v/>
      </c>
      <c r="B23" s="399">
        <f>IFERROR(VLOOKUP($A23,'R&amp;R Generic Detailed Budget'!$B$13:$D$52, 2, FALSE),0)</f>
        <v>0</v>
      </c>
      <c r="C23" s="399" t="str">
        <f>IFERROR(VLOOKUP($A23,'R&amp;R Generic Detailed Budget'!$B$30:$D$45, 3, FALSE),"")</f>
        <v/>
      </c>
      <c r="D23" s="401">
        <f t="shared" si="16"/>
        <v>0</v>
      </c>
      <c r="E23" s="400">
        <f t="shared" si="17"/>
        <v>0</v>
      </c>
      <c r="F23" s="425"/>
      <c r="G23" s="413" t="str">
        <f>IF(ISBLANK('R&amp;R Generic Detailed Budget'!E32),"0",'R&amp;R Generic Detailed Budget'!E32)</f>
        <v>0</v>
      </c>
      <c r="H23" s="412">
        <f>IF('R&amp;R Generic Detailed Budget'!$A$1&gt;1,ROUND((G23*'R&amp;R Generic Detailed Budget'!$V$15),0),0)</f>
        <v>0</v>
      </c>
      <c r="I23" s="412">
        <f>IF('R&amp;R Generic Detailed Budget'!$A$1&gt;2,ROUND((H23*'R&amp;R Generic Detailed Budget'!$V$15),0),0)</f>
        <v>0</v>
      </c>
      <c r="J23" s="412">
        <f>IF('R&amp;R Generic Detailed Budget'!$A$1&gt;3,ROUND((I23*'R&amp;R Generic Detailed Budget'!$V$15),0),0)</f>
        <v>0</v>
      </c>
      <c r="K23" s="412">
        <f>IF('R&amp;R Generic Detailed Budget'!$A$1&gt;4,ROUND((J23*'R&amp;R Generic Detailed Budget'!$V$15),0),0)</f>
        <v>0</v>
      </c>
      <c r="L23" s="406"/>
      <c r="M23" s="402" t="str">
        <f>IF(ISBLANK('R&amp;R Generic Detailed Budget'!$F32),"",'R&amp;R Generic Detailed Budget'!$F32)</f>
        <v/>
      </c>
      <c r="N23" s="402" t="str">
        <f>IF(ISBLANK('R&amp;R Generic Detailed Budget'!$G32),"",'R&amp;R Generic Detailed Budget'!$G32)</f>
        <v/>
      </c>
      <c r="O23" s="402" t="str">
        <f>IF(ISBLANK('R&amp;R Generic Detailed Budget'!$H32),"",'R&amp;R Generic Detailed Budget'!$H32)</f>
        <v/>
      </c>
      <c r="P23" s="402" t="str">
        <f>IF(ISBLANK('R&amp;R Generic Detailed Budget'!$I32),"",'R&amp;R Generic Detailed Budget'!$I32)</f>
        <v/>
      </c>
      <c r="Q23" s="402" t="str">
        <f>IF(ISBLANK('R&amp;R Generic Detailed Budget'!$J32),"",'R&amp;R Generic Detailed Budget'!$J32)</f>
        <v/>
      </c>
      <c r="R23" s="406"/>
      <c r="S23" s="417" t="str">
        <f t="shared" si="18"/>
        <v/>
      </c>
      <c r="T23" s="417" t="str">
        <f t="shared" si="18"/>
        <v/>
      </c>
      <c r="U23" s="417" t="str">
        <f t="shared" si="18"/>
        <v/>
      </c>
      <c r="V23" s="417" t="str">
        <f t="shared" si="18"/>
        <v/>
      </c>
      <c r="W23" s="417" t="str">
        <f t="shared" si="18"/>
        <v/>
      </c>
      <c r="X23" s="417"/>
      <c r="Y23" s="406"/>
      <c r="Z23" s="412">
        <f>IF(ISBLANK('R&amp;R Generic Detailed Budget'!$L32),"",'R&amp;R Generic Detailed Budget'!$L32)</f>
        <v>0</v>
      </c>
      <c r="AA23" s="412">
        <f>IF(ISBLANK('R&amp;R Generic Detailed Budget'!$M32),"",'R&amp;R Generic Detailed Budget'!$M32)</f>
        <v>0</v>
      </c>
      <c r="AB23" s="412">
        <f>IF(ISBLANK('R&amp;R Generic Detailed Budget'!$N32),"",'R&amp;R Generic Detailed Budget'!$N32)</f>
        <v>0</v>
      </c>
      <c r="AC23" s="412">
        <f>IF(ISBLANK('R&amp;R Generic Detailed Budget'!$O32),"",'R&amp;R Generic Detailed Budget'!$O32)</f>
        <v>0</v>
      </c>
      <c r="AD23" s="412">
        <f>IF(ISBLANK('R&amp;R Generic Detailed Budget'!$P32),"",'R&amp;R Generic Detailed Budget'!$P32)</f>
        <v>0</v>
      </c>
      <c r="AE23" s="412">
        <f t="shared" si="9"/>
        <v>0</v>
      </c>
      <c r="AF23" s="406"/>
      <c r="AG23" s="404" t="str">
        <f t="shared" si="19"/>
        <v/>
      </c>
      <c r="AH23" s="404" t="str">
        <f>IF('R&amp;R Generic Detailed Budget'!$A$1&gt;1,IF($A23="","",VLOOKUP($D23,OPE_Rates,3,FALSE)),0)</f>
        <v/>
      </c>
      <c r="AI23" s="404" t="str">
        <f>IF('R&amp;R Generic Detailed Budget'!$A$1&gt;2,IF($A23="","",VLOOKUP($D23,OPE_Rates,3,FALSE)),0)</f>
        <v/>
      </c>
      <c r="AJ23" s="404" t="str">
        <f>IF('R&amp;R Generic Detailed Budget'!$A$1&gt;3,IF($A23="","",VLOOKUP($D23,OPE_Rates,3,FALSE)),"")</f>
        <v/>
      </c>
      <c r="AK23" s="404" t="str">
        <f>IF('R&amp;R Generic Detailed Budget'!$A$1&gt;3,IF($A23="","",VLOOKUP($D23,OPE_Rates,3,FALSE)),"")</f>
        <v/>
      </c>
      <c r="AL23" s="406"/>
      <c r="AM23" s="412" t="str">
        <f t="shared" si="20"/>
        <v/>
      </c>
      <c r="AN23" s="412" t="str">
        <f t="shared" si="20"/>
        <v/>
      </c>
      <c r="AO23" s="412" t="str">
        <f t="shared" si="20"/>
        <v/>
      </c>
      <c r="AP23" s="412" t="str">
        <f t="shared" si="20"/>
        <v/>
      </c>
      <c r="AQ23" s="412" t="str">
        <f t="shared" si="20"/>
        <v/>
      </c>
      <c r="AR23" s="412">
        <f t="shared" si="15"/>
        <v>0</v>
      </c>
      <c r="AS23" s="406"/>
    </row>
    <row r="24" spans="1:45" s="394" customFormat="1" ht="11.25" x14ac:dyDescent="0.2">
      <c r="A24" s="398" t="str">
        <f>IF(ISBLANK('R&amp;R Generic Detailed Budget'!B33),"",'R&amp;R Generic Detailed Budget'!B33)</f>
        <v/>
      </c>
      <c r="B24" s="399">
        <f>IFERROR(VLOOKUP($A24,'R&amp;R Generic Detailed Budget'!$B$13:$D$52, 2, FALSE),0)</f>
        <v>0</v>
      </c>
      <c r="C24" s="399" t="str">
        <f>IFERROR(VLOOKUP($A24,'R&amp;R Generic Detailed Budget'!$B$30:$D$45, 3, FALSE),"")</f>
        <v/>
      </c>
      <c r="D24" s="401">
        <f t="shared" si="16"/>
        <v>0</v>
      </c>
      <c r="E24" s="400">
        <f t="shared" si="17"/>
        <v>0</v>
      </c>
      <c r="F24" s="425"/>
      <c r="G24" s="413" t="str">
        <f>IF(ISBLANK('R&amp;R Generic Detailed Budget'!E33),"0",'R&amp;R Generic Detailed Budget'!E33)</f>
        <v>0</v>
      </c>
      <c r="H24" s="412">
        <f>IF('R&amp;R Generic Detailed Budget'!$A$1&gt;1,ROUND((G24*'R&amp;R Generic Detailed Budget'!$V$15),0),0)</f>
        <v>0</v>
      </c>
      <c r="I24" s="412">
        <f>IF('R&amp;R Generic Detailed Budget'!$A$1&gt;2,ROUND((H24*'R&amp;R Generic Detailed Budget'!$V$15),0),0)</f>
        <v>0</v>
      </c>
      <c r="J24" s="412">
        <f>IF('R&amp;R Generic Detailed Budget'!$A$1&gt;3,ROUND((I24*'R&amp;R Generic Detailed Budget'!$V$15),0),0)</f>
        <v>0</v>
      </c>
      <c r="K24" s="412">
        <f>IF('R&amp;R Generic Detailed Budget'!$A$1&gt;4,ROUND((J24*'R&amp;R Generic Detailed Budget'!$V$15),0),0)</f>
        <v>0</v>
      </c>
      <c r="L24" s="406"/>
      <c r="M24" s="402" t="str">
        <f>IF(ISBLANK('R&amp;R Generic Detailed Budget'!$F33),"",'R&amp;R Generic Detailed Budget'!$F33)</f>
        <v/>
      </c>
      <c r="N24" s="402" t="str">
        <f>IF(ISBLANK('R&amp;R Generic Detailed Budget'!$G33),"",'R&amp;R Generic Detailed Budget'!$G33)</f>
        <v/>
      </c>
      <c r="O24" s="402" t="str">
        <f>IF(ISBLANK('R&amp;R Generic Detailed Budget'!$H33),"",'R&amp;R Generic Detailed Budget'!$H33)</f>
        <v/>
      </c>
      <c r="P24" s="402" t="str">
        <f>IF(ISBLANK('R&amp;R Generic Detailed Budget'!$I33),"",'R&amp;R Generic Detailed Budget'!$I33)</f>
        <v/>
      </c>
      <c r="Q24" s="402" t="str">
        <f>IF(ISBLANK('R&amp;R Generic Detailed Budget'!$J33),"",'R&amp;R Generic Detailed Budget'!$J33)</f>
        <v/>
      </c>
      <c r="R24" s="406"/>
      <c r="S24" s="417" t="str">
        <f t="shared" si="18"/>
        <v/>
      </c>
      <c r="T24" s="417" t="str">
        <f t="shared" si="18"/>
        <v/>
      </c>
      <c r="U24" s="417" t="str">
        <f t="shared" si="18"/>
        <v/>
      </c>
      <c r="V24" s="417" t="str">
        <f t="shared" si="18"/>
        <v/>
      </c>
      <c r="W24" s="417" t="str">
        <f t="shared" si="18"/>
        <v/>
      </c>
      <c r="X24" s="417"/>
      <c r="Y24" s="406"/>
      <c r="Z24" s="412">
        <f>IF(ISBLANK('R&amp;R Generic Detailed Budget'!$L33),"",'R&amp;R Generic Detailed Budget'!$L33)</f>
        <v>0</v>
      </c>
      <c r="AA24" s="412">
        <f>IF(ISBLANK('R&amp;R Generic Detailed Budget'!$M33),"",'R&amp;R Generic Detailed Budget'!$M33)</f>
        <v>0</v>
      </c>
      <c r="AB24" s="412">
        <f>IF(ISBLANK('R&amp;R Generic Detailed Budget'!$N33),"",'R&amp;R Generic Detailed Budget'!$N33)</f>
        <v>0</v>
      </c>
      <c r="AC24" s="412">
        <f>IF(ISBLANK('R&amp;R Generic Detailed Budget'!$O33),"",'R&amp;R Generic Detailed Budget'!$O33)</f>
        <v>0</v>
      </c>
      <c r="AD24" s="412">
        <f>IF(ISBLANK('R&amp;R Generic Detailed Budget'!$P33),"",'R&amp;R Generic Detailed Budget'!$P33)</f>
        <v>0</v>
      </c>
      <c r="AE24" s="412">
        <f t="shared" si="9"/>
        <v>0</v>
      </c>
      <c r="AF24" s="406"/>
      <c r="AG24" s="404" t="str">
        <f t="shared" si="19"/>
        <v/>
      </c>
      <c r="AH24" s="404" t="str">
        <f>IF('R&amp;R Generic Detailed Budget'!$A$1&gt;1,IF($A24="","",VLOOKUP($D24,OPE_Rates,3,FALSE)),0)</f>
        <v/>
      </c>
      <c r="AI24" s="404" t="str">
        <f>IF('R&amp;R Generic Detailed Budget'!$A$1&gt;2,IF($A24="","",VLOOKUP($D24,OPE_Rates,3,FALSE)),0)</f>
        <v/>
      </c>
      <c r="AJ24" s="404" t="str">
        <f>IF('R&amp;R Generic Detailed Budget'!$A$1&gt;3,IF($A24="","",VLOOKUP($D24,OPE_Rates,3,FALSE)),"")</f>
        <v/>
      </c>
      <c r="AK24" s="404" t="str">
        <f>IF('R&amp;R Generic Detailed Budget'!$A$1&gt;3,IF($A24="","",VLOOKUP($D24,OPE_Rates,3,FALSE)),"")</f>
        <v/>
      </c>
      <c r="AL24" s="406"/>
      <c r="AM24" s="412" t="str">
        <f t="shared" si="20"/>
        <v/>
      </c>
      <c r="AN24" s="412" t="str">
        <f t="shared" si="20"/>
        <v/>
      </c>
      <c r="AO24" s="412" t="str">
        <f t="shared" si="20"/>
        <v/>
      </c>
      <c r="AP24" s="412" t="str">
        <f t="shared" si="20"/>
        <v/>
      </c>
      <c r="AQ24" s="412" t="str">
        <f t="shared" si="20"/>
        <v/>
      </c>
      <c r="AR24" s="412">
        <f t="shared" si="15"/>
        <v>0</v>
      </c>
      <c r="AS24" s="406"/>
    </row>
    <row r="25" spans="1:45" s="394" customFormat="1" ht="11.25" x14ac:dyDescent="0.2">
      <c r="A25" s="398" t="str">
        <f>IF(ISBLANK('R&amp;R Generic Detailed Budget'!B34),"",'R&amp;R Generic Detailed Budget'!B34)</f>
        <v/>
      </c>
      <c r="B25" s="399">
        <f>IFERROR(VLOOKUP($A25,'R&amp;R Generic Detailed Budget'!$B$13:$D$52, 2, FALSE),0)</f>
        <v>0</v>
      </c>
      <c r="C25" s="399" t="str">
        <f>IFERROR(VLOOKUP($A25,'R&amp;R Generic Detailed Budget'!$B$30:$D$45, 3, FALSE),"")</f>
        <v/>
      </c>
      <c r="D25" s="401">
        <f t="shared" si="16"/>
        <v>0</v>
      </c>
      <c r="E25" s="400">
        <f t="shared" si="17"/>
        <v>0</v>
      </c>
      <c r="F25" s="425"/>
      <c r="G25" s="413" t="str">
        <f>IF(ISBLANK('R&amp;R Generic Detailed Budget'!E34),"0",'R&amp;R Generic Detailed Budget'!E34)</f>
        <v>0</v>
      </c>
      <c r="H25" s="412">
        <f>IF('R&amp;R Generic Detailed Budget'!$A$1&gt;1,ROUND((G25*'R&amp;R Generic Detailed Budget'!$V$15),0),0)</f>
        <v>0</v>
      </c>
      <c r="I25" s="412">
        <f>IF('R&amp;R Generic Detailed Budget'!$A$1&gt;2,ROUND((H25*'R&amp;R Generic Detailed Budget'!$V$15),0),0)</f>
        <v>0</v>
      </c>
      <c r="J25" s="412">
        <f>IF('R&amp;R Generic Detailed Budget'!$A$1&gt;3,ROUND((I25*'R&amp;R Generic Detailed Budget'!$V$15),0),0)</f>
        <v>0</v>
      </c>
      <c r="K25" s="412">
        <f>IF('R&amp;R Generic Detailed Budget'!$A$1&gt;4,ROUND((J25*'R&amp;R Generic Detailed Budget'!$V$15),0),0)</f>
        <v>0</v>
      </c>
      <c r="L25" s="406"/>
      <c r="M25" s="402" t="str">
        <f>IF(ISBLANK('R&amp;R Generic Detailed Budget'!$F34),"",'R&amp;R Generic Detailed Budget'!$F34)</f>
        <v/>
      </c>
      <c r="N25" s="402" t="str">
        <f>IF(ISBLANK('R&amp;R Generic Detailed Budget'!$G34),"",'R&amp;R Generic Detailed Budget'!$G34)</f>
        <v/>
      </c>
      <c r="O25" s="402" t="str">
        <f>IF(ISBLANK('R&amp;R Generic Detailed Budget'!$H34),"",'R&amp;R Generic Detailed Budget'!$H34)</f>
        <v/>
      </c>
      <c r="P25" s="402" t="str">
        <f>IF(ISBLANK('R&amp;R Generic Detailed Budget'!$I34),"",'R&amp;R Generic Detailed Budget'!$I34)</f>
        <v/>
      </c>
      <c r="Q25" s="402" t="str">
        <f>IF(ISBLANK('R&amp;R Generic Detailed Budget'!$J34),"",'R&amp;R Generic Detailed Budget'!$J34)</f>
        <v/>
      </c>
      <c r="R25" s="406"/>
      <c r="S25" s="417" t="str">
        <f t="shared" si="18"/>
        <v/>
      </c>
      <c r="T25" s="417" t="str">
        <f t="shared" si="18"/>
        <v/>
      </c>
      <c r="U25" s="417" t="str">
        <f t="shared" si="18"/>
        <v/>
      </c>
      <c r="V25" s="417" t="str">
        <f t="shared" si="18"/>
        <v/>
      </c>
      <c r="W25" s="417" t="str">
        <f t="shared" si="18"/>
        <v/>
      </c>
      <c r="X25" s="417"/>
      <c r="Y25" s="406"/>
      <c r="Z25" s="412">
        <f>IF(ISBLANK('R&amp;R Generic Detailed Budget'!$L34),"",'R&amp;R Generic Detailed Budget'!$L34)</f>
        <v>0</v>
      </c>
      <c r="AA25" s="412">
        <f>IF(ISBLANK('R&amp;R Generic Detailed Budget'!$M34),"",'R&amp;R Generic Detailed Budget'!$M34)</f>
        <v>0</v>
      </c>
      <c r="AB25" s="412">
        <f>IF(ISBLANK('R&amp;R Generic Detailed Budget'!$N34),"",'R&amp;R Generic Detailed Budget'!$N34)</f>
        <v>0</v>
      </c>
      <c r="AC25" s="412">
        <f>IF(ISBLANK('R&amp;R Generic Detailed Budget'!$O34),"",'R&amp;R Generic Detailed Budget'!$O34)</f>
        <v>0</v>
      </c>
      <c r="AD25" s="412">
        <f>IF(ISBLANK('R&amp;R Generic Detailed Budget'!$P34),"",'R&amp;R Generic Detailed Budget'!$P34)</f>
        <v>0</v>
      </c>
      <c r="AE25" s="412">
        <f t="shared" si="9"/>
        <v>0</v>
      </c>
      <c r="AF25" s="406"/>
      <c r="AG25" s="404" t="str">
        <f t="shared" si="19"/>
        <v/>
      </c>
      <c r="AH25" s="404" t="str">
        <f>IF('R&amp;R Generic Detailed Budget'!$A$1&gt;1,IF($A25="","",VLOOKUP($D25,OPE_Rates,3,FALSE)),0)</f>
        <v/>
      </c>
      <c r="AI25" s="404" t="str">
        <f>IF('R&amp;R Generic Detailed Budget'!$A$1&gt;2,IF($A25="","",VLOOKUP($D25,OPE_Rates,3,FALSE)),0)</f>
        <v/>
      </c>
      <c r="AJ25" s="404" t="str">
        <f>IF('R&amp;R Generic Detailed Budget'!$A$1&gt;3,IF($A25="","",VLOOKUP($D25,OPE_Rates,3,FALSE)),"")</f>
        <v/>
      </c>
      <c r="AK25" s="404" t="str">
        <f>IF('R&amp;R Generic Detailed Budget'!$A$1&gt;3,IF($A25="","",VLOOKUP($D25,OPE_Rates,3,FALSE)),"")</f>
        <v/>
      </c>
      <c r="AL25" s="406"/>
      <c r="AM25" s="412" t="str">
        <f t="shared" si="20"/>
        <v/>
      </c>
      <c r="AN25" s="412" t="str">
        <f t="shared" si="20"/>
        <v/>
      </c>
      <c r="AO25" s="412" t="str">
        <f t="shared" si="20"/>
        <v/>
      </c>
      <c r="AP25" s="412" t="str">
        <f t="shared" si="20"/>
        <v/>
      </c>
      <c r="AQ25" s="412" t="str">
        <f t="shared" si="20"/>
        <v/>
      </c>
      <c r="AR25" s="412">
        <f t="shared" si="15"/>
        <v>0</v>
      </c>
      <c r="AS25" s="406"/>
    </row>
    <row r="26" spans="1:45" s="394" customFormat="1" ht="11.25" x14ac:dyDescent="0.2">
      <c r="A26" s="398" t="str">
        <f>IF(ISBLANK('R&amp;R Generic Detailed Budget'!B35),"",'R&amp;R Generic Detailed Budget'!B35)</f>
        <v/>
      </c>
      <c r="B26" s="399">
        <f>IFERROR(VLOOKUP($A26,'R&amp;R Generic Detailed Budget'!$B$13:$D$52, 2, FALSE),0)</f>
        <v>0</v>
      </c>
      <c r="C26" s="399" t="str">
        <f>IFERROR(VLOOKUP($A26,'R&amp;R Generic Detailed Budget'!$B$30:$D$45, 3, FALSE),"")</f>
        <v/>
      </c>
      <c r="D26" s="401">
        <f t="shared" si="16"/>
        <v>0</v>
      </c>
      <c r="E26" s="400">
        <f t="shared" si="17"/>
        <v>0</v>
      </c>
      <c r="F26" s="425"/>
      <c r="G26" s="413" t="str">
        <f>IF(ISBLANK('R&amp;R Generic Detailed Budget'!E35),"0",'R&amp;R Generic Detailed Budget'!E35)</f>
        <v>0</v>
      </c>
      <c r="H26" s="412">
        <f>IF('R&amp;R Generic Detailed Budget'!$A$1&gt;1,ROUND((G26*'R&amp;R Generic Detailed Budget'!$V$15),0),0)</f>
        <v>0</v>
      </c>
      <c r="I26" s="412">
        <f>IF('R&amp;R Generic Detailed Budget'!$A$1&gt;2,ROUND((H26*'R&amp;R Generic Detailed Budget'!$V$15),0),0)</f>
        <v>0</v>
      </c>
      <c r="J26" s="412">
        <f>IF('R&amp;R Generic Detailed Budget'!$A$1&gt;3,ROUND((I26*'R&amp;R Generic Detailed Budget'!$V$15),0),0)</f>
        <v>0</v>
      </c>
      <c r="K26" s="412">
        <f>IF('R&amp;R Generic Detailed Budget'!$A$1&gt;4,ROUND((J26*'R&amp;R Generic Detailed Budget'!$V$15),0),0)</f>
        <v>0</v>
      </c>
      <c r="L26" s="406"/>
      <c r="M26" s="402" t="str">
        <f>IF(ISBLANK('R&amp;R Generic Detailed Budget'!$F35),"",'R&amp;R Generic Detailed Budget'!$F35)</f>
        <v/>
      </c>
      <c r="N26" s="402" t="str">
        <f>IF(ISBLANK('R&amp;R Generic Detailed Budget'!$G35),"",'R&amp;R Generic Detailed Budget'!$G35)</f>
        <v/>
      </c>
      <c r="O26" s="402" t="str">
        <f>IF(ISBLANK('R&amp;R Generic Detailed Budget'!$H35),"",'R&amp;R Generic Detailed Budget'!$H35)</f>
        <v/>
      </c>
      <c r="P26" s="402" t="str">
        <f>IF(ISBLANK('R&amp;R Generic Detailed Budget'!$I35),"",'R&amp;R Generic Detailed Budget'!$I35)</f>
        <v/>
      </c>
      <c r="Q26" s="402" t="str">
        <f>IF(ISBLANK('R&amp;R Generic Detailed Budget'!$J35),"",'R&amp;R Generic Detailed Budget'!$J35)</f>
        <v/>
      </c>
      <c r="R26" s="406"/>
      <c r="S26" s="417" t="str">
        <f t="shared" si="18"/>
        <v/>
      </c>
      <c r="T26" s="417" t="str">
        <f t="shared" si="18"/>
        <v/>
      </c>
      <c r="U26" s="417" t="str">
        <f t="shared" si="18"/>
        <v/>
      </c>
      <c r="V26" s="417" t="str">
        <f t="shared" si="18"/>
        <v/>
      </c>
      <c r="W26" s="417" t="str">
        <f t="shared" si="18"/>
        <v/>
      </c>
      <c r="X26" s="417"/>
      <c r="Y26" s="406"/>
      <c r="Z26" s="412">
        <f>IF(ISBLANK('R&amp;R Generic Detailed Budget'!$L35),"",'R&amp;R Generic Detailed Budget'!$L35)</f>
        <v>0</v>
      </c>
      <c r="AA26" s="412">
        <f>IF(ISBLANK('R&amp;R Generic Detailed Budget'!$M35),"",'R&amp;R Generic Detailed Budget'!$M35)</f>
        <v>0</v>
      </c>
      <c r="AB26" s="412">
        <f>IF(ISBLANK('R&amp;R Generic Detailed Budget'!$N35),"",'R&amp;R Generic Detailed Budget'!$N35)</f>
        <v>0</v>
      </c>
      <c r="AC26" s="412">
        <f>IF(ISBLANK('R&amp;R Generic Detailed Budget'!$O35),"",'R&amp;R Generic Detailed Budget'!$O35)</f>
        <v>0</v>
      </c>
      <c r="AD26" s="412">
        <f>IF(ISBLANK('R&amp;R Generic Detailed Budget'!$P35),"",'R&amp;R Generic Detailed Budget'!$P35)</f>
        <v>0</v>
      </c>
      <c r="AE26" s="412">
        <f t="shared" si="9"/>
        <v>0</v>
      </c>
      <c r="AF26" s="406"/>
      <c r="AG26" s="404" t="str">
        <f t="shared" si="19"/>
        <v/>
      </c>
      <c r="AH26" s="404" t="str">
        <f>IF('R&amp;R Generic Detailed Budget'!$A$1&gt;1,IF($A26="","",VLOOKUP($D26,OPE_Rates,3,FALSE)),0)</f>
        <v/>
      </c>
      <c r="AI26" s="404" t="str">
        <f>IF('R&amp;R Generic Detailed Budget'!$A$1&gt;1,IF($A26="","",VLOOKUP($D26,OPE_Rates,3,FALSE)),0)</f>
        <v/>
      </c>
      <c r="AJ26" s="404" t="str">
        <f>IF('R&amp;R Generic Detailed Budget'!$A$1&gt;3,IF($A26="","",VLOOKUP($D26,OPE_Rates,3,FALSE)),"")</f>
        <v/>
      </c>
      <c r="AK26" s="404" t="str">
        <f>IF('R&amp;R Generic Detailed Budget'!$A$1&gt;3,IF($A26="","",VLOOKUP($D26,OPE_Rates,3,FALSE)),"")</f>
        <v/>
      </c>
      <c r="AL26" s="406"/>
      <c r="AM26" s="412" t="str">
        <f t="shared" si="20"/>
        <v/>
      </c>
      <c r="AN26" s="412" t="str">
        <f t="shared" si="20"/>
        <v/>
      </c>
      <c r="AO26" s="412" t="str">
        <f t="shared" si="20"/>
        <v/>
      </c>
      <c r="AP26" s="412" t="str">
        <f t="shared" si="20"/>
        <v/>
      </c>
      <c r="AQ26" s="412" t="str">
        <f t="shared" si="20"/>
        <v/>
      </c>
      <c r="AR26" s="412">
        <f t="shared" si="15"/>
        <v>0</v>
      </c>
      <c r="AS26" s="406"/>
    </row>
    <row r="27" spans="1:45" s="394" customFormat="1" ht="19.149999999999999" customHeight="1" x14ac:dyDescent="0.2">
      <c r="A27" s="395" t="s">
        <v>305</v>
      </c>
      <c r="B27" s="396"/>
      <c r="C27" s="396"/>
      <c r="D27" s="396"/>
      <c r="E27" s="396"/>
      <c r="F27" s="396"/>
      <c r="G27" s="411" t="s">
        <v>306</v>
      </c>
      <c r="H27" s="411" t="s">
        <v>307</v>
      </c>
      <c r="I27" s="411" t="s">
        <v>308</v>
      </c>
      <c r="J27" s="411" t="s">
        <v>309</v>
      </c>
      <c r="K27" s="411" t="s">
        <v>310</v>
      </c>
      <c r="L27" s="396"/>
      <c r="M27" s="411" t="s">
        <v>285</v>
      </c>
      <c r="N27" s="411" t="s">
        <v>286</v>
      </c>
      <c r="O27" s="411" t="s">
        <v>287</v>
      </c>
      <c r="P27" s="411" t="s">
        <v>288</v>
      </c>
      <c r="Q27" s="411" t="s">
        <v>289</v>
      </c>
      <c r="R27" s="411"/>
      <c r="S27" s="411" t="s">
        <v>360</v>
      </c>
      <c r="T27" s="411" t="s">
        <v>361</v>
      </c>
      <c r="U27" s="411" t="s">
        <v>362</v>
      </c>
      <c r="V27" s="411" t="s">
        <v>363</v>
      </c>
      <c r="W27" s="411" t="s">
        <v>364</v>
      </c>
      <c r="X27" s="411" t="s">
        <v>365</v>
      </c>
      <c r="Y27" s="411"/>
      <c r="Z27" s="411" t="s">
        <v>311</v>
      </c>
      <c r="AA27" s="411" t="s">
        <v>312</v>
      </c>
      <c r="AB27" s="411" t="s">
        <v>313</v>
      </c>
      <c r="AC27" s="411" t="s">
        <v>314</v>
      </c>
      <c r="AD27" s="411" t="s">
        <v>315</v>
      </c>
      <c r="AE27" s="411" t="s">
        <v>331</v>
      </c>
      <c r="AF27" s="411"/>
      <c r="AG27" s="411" t="s">
        <v>317</v>
      </c>
      <c r="AH27" s="411" t="s">
        <v>318</v>
      </c>
      <c r="AI27" s="411" t="s">
        <v>319</v>
      </c>
      <c r="AJ27" s="411" t="s">
        <v>320</v>
      </c>
      <c r="AK27" s="411" t="s">
        <v>321</v>
      </c>
      <c r="AL27" s="411"/>
      <c r="AM27" s="411" t="s">
        <v>316</v>
      </c>
      <c r="AN27" s="411" t="s">
        <v>322</v>
      </c>
      <c r="AO27" s="411" t="s">
        <v>323</v>
      </c>
      <c r="AP27" s="411" t="s">
        <v>324</v>
      </c>
      <c r="AQ27" s="411" t="s">
        <v>325</v>
      </c>
      <c r="AR27" s="411" t="s">
        <v>329</v>
      </c>
      <c r="AS27" s="411"/>
    </row>
    <row r="28" spans="1:45" s="394" customFormat="1" ht="11.25" x14ac:dyDescent="0.2">
      <c r="A28" s="398" t="str">
        <f>IF(ISBLANK('R&amp;R Generic Detailed Budget'!B37),"",'R&amp;R Generic Detailed Budget'!B37)</f>
        <v>Regular Students</v>
      </c>
      <c r="B28" s="399"/>
      <c r="C28" s="399" t="s">
        <v>192</v>
      </c>
      <c r="D28" s="401" t="str">
        <f>IFERROR(VLOOKUP($C28,EmployeeClass, 2, FALSE),0)</f>
        <v>Students</v>
      </c>
      <c r="E28" s="400">
        <f>IFERROR(VLOOKUP($C28,EmployeeClass, 4, FALSE),0)</f>
        <v>12</v>
      </c>
      <c r="F28" s="406"/>
      <c r="G28" s="413">
        <f>IF(ISBLANK('R&amp;R Generic Detailed Budget'!$E37),"0",'R&amp;R Generic Detailed Budget'!$E37)</f>
        <v>31199.4</v>
      </c>
      <c r="H28" s="412">
        <f>IF('R&amp;R Generic Detailed Budget'!$A$1&gt;1,ROUND((G28*'R&amp;R Generic Detailed Budget'!$V$15),0),0)</f>
        <v>32135</v>
      </c>
      <c r="I28" s="412">
        <f>IF('R&amp;R Generic Detailed Budget'!$A$1&gt;2,ROUND((H28*'R&amp;R Generic Detailed Budget'!$V$15),0),0)</f>
        <v>33099</v>
      </c>
      <c r="J28" s="412">
        <f>IF('R&amp;R Generic Detailed Budget'!$A$1&gt;3,ROUND((I28*'R&amp;R Generic Detailed Budget'!$V$15),0),0)</f>
        <v>34092</v>
      </c>
      <c r="K28" s="412">
        <f>IF('R&amp;R Generic Detailed Budget'!$A$1&gt;4,ROUND((J28*'R&amp;R Generic Detailed Budget'!$V$15),0),0)</f>
        <v>35115</v>
      </c>
      <c r="L28" s="406"/>
      <c r="M28" s="402" t="str">
        <f>IF(ISBLANK('R&amp;R Generic Detailed Budget'!$F37),"",'R&amp;R Generic Detailed Budget'!$F37)</f>
        <v/>
      </c>
      <c r="N28" s="402" t="str">
        <f>IF(ISBLANK('R&amp;R Generic Detailed Budget'!$G37),"",'R&amp;R Generic Detailed Budget'!$G37)</f>
        <v/>
      </c>
      <c r="O28" s="402" t="str">
        <f>IF(ISBLANK('R&amp;R Generic Detailed Budget'!$H37),"",'R&amp;R Generic Detailed Budget'!$H37)</f>
        <v/>
      </c>
      <c r="P28" s="402" t="str">
        <f>IF(ISBLANK('R&amp;R Generic Detailed Budget'!$I37),"",'R&amp;R Generic Detailed Budget'!$I37)</f>
        <v/>
      </c>
      <c r="Q28" s="402" t="str">
        <f>IF(ISBLANK('R&amp;R Generic Detailed Budget'!$J37),"",'R&amp;R Generic Detailed Budget'!$J37)</f>
        <v/>
      </c>
      <c r="R28" s="406"/>
      <c r="S28" s="417" t="str">
        <f t="shared" ref="S28:W29" si="21">IFERROR($E28*M28,"")</f>
        <v/>
      </c>
      <c r="T28" s="417" t="str">
        <f t="shared" si="21"/>
        <v/>
      </c>
      <c r="U28" s="417" t="str">
        <f t="shared" si="21"/>
        <v/>
      </c>
      <c r="V28" s="417" t="str">
        <f t="shared" si="21"/>
        <v/>
      </c>
      <c r="W28" s="417" t="str">
        <f t="shared" si="21"/>
        <v/>
      </c>
      <c r="X28" s="417">
        <f>SUM(S28:W28)</f>
        <v>0</v>
      </c>
      <c r="Y28" s="411"/>
      <c r="Z28" s="412">
        <f>IF(ISBLANK('R&amp;R Generic Detailed Budget'!$L37),"",'R&amp;R Generic Detailed Budget'!$L37)</f>
        <v>0</v>
      </c>
      <c r="AA28" s="412">
        <f>IF(ISBLANK('R&amp;R Generic Detailed Budget'!$M37),"",'R&amp;R Generic Detailed Budget'!$M37)</f>
        <v>0</v>
      </c>
      <c r="AB28" s="412">
        <f>IF(ISBLANK('R&amp;R Generic Detailed Budget'!$N37),"",'R&amp;R Generic Detailed Budget'!$N37)</f>
        <v>0</v>
      </c>
      <c r="AC28" s="412">
        <f>IF(ISBLANK('R&amp;R Generic Detailed Budget'!$O37),"",'R&amp;R Generic Detailed Budget'!$O37)</f>
        <v>0</v>
      </c>
      <c r="AD28" s="412">
        <f>IF(ISBLANK('R&amp;R Generic Detailed Budget'!$P37),"",'R&amp;R Generic Detailed Budget'!$P37)</f>
        <v>0</v>
      </c>
      <c r="AE28" s="414">
        <f t="shared" si="9"/>
        <v>0</v>
      </c>
      <c r="AF28" s="406"/>
      <c r="AG28" s="404">
        <f>IF($A28="","",VLOOKUP($D28,OPE_Rates,2,FALSE))</f>
        <v>3.3000000000000002E-2</v>
      </c>
      <c r="AH28" s="404">
        <f>IF('R&amp;R Generic Detailed Budget'!$A$1&gt;1,IF($A28="","",VLOOKUP($D28,OPE_Rates,3,FALSE)),0)</f>
        <v>3.6999999999999998E-2</v>
      </c>
      <c r="AI28" s="404">
        <f>IF('R&amp;R Generic Detailed Budget'!$A$1&gt;2,IF($A28="","",VLOOKUP($D28,OPE_Rates,4,FALSE)),0)</f>
        <v>3.4000000000000002E-2</v>
      </c>
      <c r="AJ28" s="404">
        <f>IF('R&amp;R Generic Detailed Budget'!$A$1&gt;3,IF($A28="","",VLOOKUP($D28,OPE_Rates,5,FALSE)),"")</f>
        <v>3.4000000000000002E-2</v>
      </c>
      <c r="AK28" s="404">
        <f>IF('R&amp;R Generic Detailed Budget'!$A$1&gt;3,IF($A28="","",VLOOKUP($D28,OPE_Rates,6,FALSE)),"")</f>
        <v>3.5200000000000002E-2</v>
      </c>
      <c r="AL28" s="406"/>
      <c r="AM28" s="412">
        <f t="shared" ref="AM28:AQ30" si="22">IFERROR(ROUND(IF(AG28="","",Z28*AG28),0),"")</f>
        <v>0</v>
      </c>
      <c r="AN28" s="412">
        <f t="shared" si="22"/>
        <v>0</v>
      </c>
      <c r="AO28" s="412">
        <f t="shared" si="22"/>
        <v>0</v>
      </c>
      <c r="AP28" s="412">
        <f t="shared" si="22"/>
        <v>0</v>
      </c>
      <c r="AQ28" s="412">
        <f t="shared" si="22"/>
        <v>0</v>
      </c>
      <c r="AR28" s="414">
        <f t="shared" si="15"/>
        <v>0</v>
      </c>
      <c r="AS28" s="406"/>
    </row>
    <row r="29" spans="1:45" s="394" customFormat="1" ht="11.25" x14ac:dyDescent="0.2">
      <c r="A29" s="398" t="str">
        <f>IF(ISBLANK('R&amp;R Generic Detailed Budget'!B38),"",'R&amp;R Generic Detailed Budget'!B38)</f>
        <v>Work Study Students</v>
      </c>
      <c r="B29" s="399"/>
      <c r="C29" s="399" t="s">
        <v>192</v>
      </c>
      <c r="D29" s="401" t="str">
        <f>IFERROR(VLOOKUP($C29,EmployeeClass, 2, FALSE),0)</f>
        <v>Students</v>
      </c>
      <c r="E29" s="400">
        <f>IFERROR(VLOOKUP($C29,EmployeeClass, 4, FALSE),0)</f>
        <v>12</v>
      </c>
      <c r="F29" s="406"/>
      <c r="G29" s="413" t="str">
        <f>IF(ISBLANK('R&amp;R Generic Detailed Budget'!$E38),"0",'R&amp;R Generic Detailed Budget'!$E38)</f>
        <v>0</v>
      </c>
      <c r="H29" s="412">
        <f>IF('R&amp;R Generic Detailed Budget'!$A$1&gt;1,ROUND((G29*'R&amp;R Generic Detailed Budget'!$V$15),0),0)</f>
        <v>0</v>
      </c>
      <c r="I29" s="412">
        <f>IF('R&amp;R Generic Detailed Budget'!$A$1&gt;2,ROUND((H29*'R&amp;R Generic Detailed Budget'!$V$15),0),0)</f>
        <v>0</v>
      </c>
      <c r="J29" s="412">
        <f>IF('R&amp;R Generic Detailed Budget'!$A$1&gt;3,ROUND((I29*'R&amp;R Generic Detailed Budget'!$V$15),0),0)</f>
        <v>0</v>
      </c>
      <c r="K29" s="412">
        <f>IF('R&amp;R Generic Detailed Budget'!$A$1&gt;4,ROUND((J29*'R&amp;R Generic Detailed Budget'!$V$15),0),0)</f>
        <v>0</v>
      </c>
      <c r="L29" s="406"/>
      <c r="M29" s="402" t="str">
        <f>IF(ISBLANK('R&amp;R Generic Detailed Budget'!$F38),"",'R&amp;R Generic Detailed Budget'!$F38)</f>
        <v/>
      </c>
      <c r="N29" s="402" t="str">
        <f>IF(ISBLANK('R&amp;R Generic Detailed Budget'!$G38),"",'R&amp;R Generic Detailed Budget'!$G38)</f>
        <v/>
      </c>
      <c r="O29" s="402" t="str">
        <f>IF(ISBLANK('R&amp;R Generic Detailed Budget'!$H38),"",'R&amp;R Generic Detailed Budget'!$H38)</f>
        <v/>
      </c>
      <c r="P29" s="402" t="str">
        <f>IF(ISBLANK('R&amp;R Generic Detailed Budget'!$I38),"",'R&amp;R Generic Detailed Budget'!$I38)</f>
        <v/>
      </c>
      <c r="Q29" s="402" t="str">
        <f>IF(ISBLANK('R&amp;R Generic Detailed Budget'!$J38),"",'R&amp;R Generic Detailed Budget'!$J38)</f>
        <v/>
      </c>
      <c r="R29" s="406"/>
      <c r="S29" s="417" t="str">
        <f t="shared" si="21"/>
        <v/>
      </c>
      <c r="T29" s="417" t="str">
        <f t="shared" si="21"/>
        <v/>
      </c>
      <c r="U29" s="417" t="str">
        <f t="shared" si="21"/>
        <v/>
      </c>
      <c r="V29" s="417" t="str">
        <f t="shared" si="21"/>
        <v/>
      </c>
      <c r="W29" s="417" t="str">
        <f t="shared" si="21"/>
        <v/>
      </c>
      <c r="X29" s="417">
        <f>SUM(S29:W29)</f>
        <v>0</v>
      </c>
      <c r="Y29" s="411"/>
      <c r="Z29" s="412">
        <f>IF(ISBLANK('R&amp;R Generic Detailed Budget'!$L38),"",'R&amp;R Generic Detailed Budget'!$L38)</f>
        <v>0</v>
      </c>
      <c r="AA29" s="412">
        <f>IF(ISBLANK('R&amp;R Generic Detailed Budget'!$M38),"",'R&amp;R Generic Detailed Budget'!$M38)</f>
        <v>0</v>
      </c>
      <c r="AB29" s="412">
        <f>IF(ISBLANK('R&amp;R Generic Detailed Budget'!$N38),"",'R&amp;R Generic Detailed Budget'!$N38)</f>
        <v>0</v>
      </c>
      <c r="AC29" s="412">
        <f>IF(ISBLANK('R&amp;R Generic Detailed Budget'!$O38),"",'R&amp;R Generic Detailed Budget'!$O38)</f>
        <v>0</v>
      </c>
      <c r="AD29" s="412">
        <f>IF(ISBLANK('R&amp;R Generic Detailed Budget'!$P38),"",'R&amp;R Generic Detailed Budget'!$P38)</f>
        <v>0</v>
      </c>
      <c r="AE29" s="412">
        <f t="shared" si="9"/>
        <v>0</v>
      </c>
      <c r="AF29" s="406"/>
      <c r="AG29" s="404">
        <f>IF($A29="","",VLOOKUP($D29,OPE_Rates,2,FALSE))</f>
        <v>3.3000000000000002E-2</v>
      </c>
      <c r="AH29" s="404">
        <f>IF('R&amp;R Generic Detailed Budget'!$A$1&gt;1,IF($A29="","",VLOOKUP($D29,OPE_Rates,3,FALSE)),0)</f>
        <v>3.6999999999999998E-2</v>
      </c>
      <c r="AI29" s="404">
        <f>IF('R&amp;R Generic Detailed Budget'!$A$1&gt;2,IF($A29="","",VLOOKUP($D29,OPE_Rates,4,FALSE)),0)</f>
        <v>3.4000000000000002E-2</v>
      </c>
      <c r="AJ29" s="404">
        <f>IF('R&amp;R Generic Detailed Budget'!$A$1&gt;3,IF($A29="","",VLOOKUP($D29,OPE_Rates,5,FALSE)),"")</f>
        <v>3.4000000000000002E-2</v>
      </c>
      <c r="AK29" s="404">
        <f>IF('R&amp;R Generic Detailed Budget'!$A$1&gt;3,IF($A29="","",VLOOKUP($D29,OPE_Rates,6,FALSE)),"")</f>
        <v>3.5200000000000002E-2</v>
      </c>
      <c r="AL29" s="406"/>
      <c r="AM29" s="412">
        <f t="shared" si="22"/>
        <v>0</v>
      </c>
      <c r="AN29" s="412">
        <f t="shared" si="22"/>
        <v>0</v>
      </c>
      <c r="AO29" s="412">
        <f t="shared" si="22"/>
        <v>0</v>
      </c>
      <c r="AP29" s="412">
        <f t="shared" si="22"/>
        <v>0</v>
      </c>
      <c r="AQ29" s="412">
        <f t="shared" si="22"/>
        <v>0</v>
      </c>
      <c r="AR29" s="412">
        <f t="shared" si="15"/>
        <v>0</v>
      </c>
      <c r="AS29" s="406"/>
    </row>
    <row r="30" spans="1:45" s="394" customFormat="1" ht="11.25" hidden="1" x14ac:dyDescent="0.2">
      <c r="A30" s="398" t="str">
        <f>IF(ISBLANK('R&amp;R Generic Detailed Budget'!B39),"",'R&amp;R Generic Detailed Budget'!B39)</f>
        <v/>
      </c>
      <c r="B30" s="399"/>
      <c r="C30" s="399"/>
      <c r="F30" s="406"/>
      <c r="G30" s="413" t="str">
        <f>IF(ISBLANK('R&amp;R Generic Detailed Budget'!E39),"0",'R&amp;R Generic Detailed Budget'!E39)</f>
        <v>0</v>
      </c>
      <c r="H30" s="412">
        <f>IF('R&amp;R Generic Detailed Budget'!$A$1&gt;1,ROUND((G30*'R&amp;R Generic Detailed Budget'!$V$15),0),0)</f>
        <v>0</v>
      </c>
      <c r="I30" s="412">
        <f>IF('R&amp;R Generic Detailed Budget'!$A$1&gt;2,ROUND((H30*'R&amp;R Generic Detailed Budget'!$V$15),0),0)</f>
        <v>0</v>
      </c>
      <c r="J30" s="412">
        <f>IF('R&amp;R Generic Detailed Budget'!$A$1&gt;3,ROUND((I30*'R&amp;R Generic Detailed Budget'!$V$15),0),0)</f>
        <v>0</v>
      </c>
      <c r="K30" s="412">
        <f>IF('R&amp;R Generic Detailed Budget'!$A$1&gt;4,ROUND((J30*'R&amp;R Generic Detailed Budget'!$V$15),0),0)</f>
        <v>0</v>
      </c>
      <c r="L30" s="406"/>
      <c r="M30" s="402" t="str">
        <f>IF(ISBLANK('R&amp;R Generic Detailed Budget'!$F39),"",'R&amp;R Generic Detailed Budget'!$F39)</f>
        <v/>
      </c>
      <c r="N30" s="402" t="str">
        <f>IF(ISBLANK('R&amp;R Generic Detailed Budget'!$G39),"",'R&amp;R Generic Detailed Budget'!$G39)</f>
        <v/>
      </c>
      <c r="O30" s="402" t="str">
        <f>IF(ISBLANK('R&amp;R Generic Detailed Budget'!$H39),"",'R&amp;R Generic Detailed Budget'!$H39)</f>
        <v/>
      </c>
      <c r="P30" s="402" t="str">
        <f>IF(ISBLANK('R&amp;R Generic Detailed Budget'!$I39),"",'R&amp;R Generic Detailed Budget'!$I39)</f>
        <v/>
      </c>
      <c r="Q30" s="402" t="str">
        <f>IF(ISBLANK('R&amp;R Generic Detailed Budget'!$J39),"",'R&amp;R Generic Detailed Budget'!$J39)</f>
        <v/>
      </c>
      <c r="R30" s="406"/>
      <c r="S30" s="402" t="str">
        <f>IF(ISBLANK('R&amp;R Generic Detailed Budget'!$L39),"",'R&amp;R Generic Detailed Budget'!$L39)</f>
        <v/>
      </c>
      <c r="T30" s="402" t="str">
        <f>IF(ISBLANK('R&amp;R Generic Detailed Budget'!$M39),"",'R&amp;R Generic Detailed Budget'!$M39)</f>
        <v/>
      </c>
      <c r="U30" s="402" t="str">
        <f>IF(ISBLANK('R&amp;R Generic Detailed Budget'!$N39),"",'R&amp;R Generic Detailed Budget'!$N39)</f>
        <v/>
      </c>
      <c r="V30" s="402" t="str">
        <f>IF(ISBLANK('R&amp;R Generic Detailed Budget'!$O39),"",'R&amp;R Generic Detailed Budget'!$O39)</f>
        <v/>
      </c>
      <c r="W30" s="402" t="str">
        <f>IF(ISBLANK('R&amp;R Generic Detailed Budget'!$P39),"",'R&amp;R Generic Detailed Budget'!$P39)</f>
        <v/>
      </c>
      <c r="X30" s="412">
        <f>SUM(S30:W30)</f>
        <v>0</v>
      </c>
      <c r="Y30" s="411"/>
      <c r="Z30" s="402" t="str">
        <f>IF(ISBLANK('R&amp;R Generic Detailed Budget'!$L39),"",'R&amp;R Generic Detailed Budget'!$L39)</f>
        <v/>
      </c>
      <c r="AA30" s="402" t="str">
        <f>IF(ISBLANK('R&amp;R Generic Detailed Budget'!$M39),"",'R&amp;R Generic Detailed Budget'!$M39)</f>
        <v/>
      </c>
      <c r="AB30" s="402" t="str">
        <f>IF(ISBLANK('R&amp;R Generic Detailed Budget'!$N39),"",'R&amp;R Generic Detailed Budget'!$N39)</f>
        <v/>
      </c>
      <c r="AC30" s="402" t="str">
        <f>IF(ISBLANK('R&amp;R Generic Detailed Budget'!$O39),"",'R&amp;R Generic Detailed Budget'!$O39)</f>
        <v/>
      </c>
      <c r="AD30" s="402" t="str">
        <f>IF(ISBLANK('R&amp;R Generic Detailed Budget'!$P39),"",'R&amp;R Generic Detailed Budget'!$P39)</f>
        <v/>
      </c>
      <c r="AE30" s="412">
        <f t="shared" si="9"/>
        <v>0</v>
      </c>
      <c r="AF30" s="406"/>
      <c r="AL30" s="406"/>
      <c r="AM30" s="412" t="str">
        <f t="shared" si="22"/>
        <v/>
      </c>
      <c r="AN30" s="412" t="str">
        <f t="shared" si="22"/>
        <v/>
      </c>
      <c r="AO30" s="412" t="str">
        <f t="shared" si="22"/>
        <v/>
      </c>
      <c r="AP30" s="412" t="str">
        <f t="shared" si="22"/>
        <v/>
      </c>
      <c r="AQ30" s="412" t="str">
        <f t="shared" si="22"/>
        <v/>
      </c>
      <c r="AR30" s="412">
        <f t="shared" si="15"/>
        <v>0</v>
      </c>
      <c r="AS30" s="406"/>
    </row>
    <row r="31" spans="1:45" s="394" customFormat="1" ht="10.5" customHeight="1" x14ac:dyDescent="0.2">
      <c r="A31" s="442" t="s">
        <v>338</v>
      </c>
      <c r="B31" s="443" t="s">
        <v>234</v>
      </c>
      <c r="C31" s="443"/>
      <c r="D31" s="444"/>
      <c r="E31" s="444"/>
      <c r="F31" s="444"/>
      <c r="G31" s="445"/>
      <c r="H31" s="446"/>
      <c r="I31" s="446"/>
      <c r="J31" s="446"/>
      <c r="K31" s="446"/>
      <c r="L31" s="444"/>
      <c r="M31" s="447"/>
      <c r="N31" s="447"/>
      <c r="O31" s="447"/>
      <c r="P31" s="447"/>
      <c r="Q31" s="447"/>
      <c r="R31" s="444"/>
      <c r="S31" s="447">
        <f>SUM(S28:S30)</f>
        <v>0</v>
      </c>
      <c r="T31" s="447">
        <f>SUM(T28:T30)</f>
        <v>0</v>
      </c>
      <c r="U31" s="447">
        <f>SUM(U28:U30)</f>
        <v>0</v>
      </c>
      <c r="V31" s="447">
        <f>SUM(V28:V30)</f>
        <v>0</v>
      </c>
      <c r="W31" s="447">
        <f>SUM(W28:W30)</f>
        <v>0</v>
      </c>
      <c r="X31" s="448">
        <f>SUM(S31:W31)</f>
        <v>0</v>
      </c>
      <c r="Y31" s="449"/>
      <c r="Z31" s="447">
        <f>SUM(Z28:Z30)</f>
        <v>0</v>
      </c>
      <c r="AA31" s="447">
        <f>SUM(AA28:AA30)</f>
        <v>0</v>
      </c>
      <c r="AB31" s="447">
        <f>SUM(AB28:AB30)</f>
        <v>0</v>
      </c>
      <c r="AC31" s="447">
        <f>SUM(AC28:AC30)</f>
        <v>0</v>
      </c>
      <c r="AD31" s="447">
        <f>SUM(AD28:AD30)</f>
        <v>0</v>
      </c>
      <c r="AE31" s="446">
        <f t="shared" si="9"/>
        <v>0</v>
      </c>
      <c r="AF31" s="444"/>
      <c r="AG31" s="444"/>
      <c r="AH31" s="444"/>
      <c r="AI31" s="444"/>
      <c r="AJ31" s="444"/>
      <c r="AK31" s="444"/>
      <c r="AL31" s="444"/>
      <c r="AM31" s="446">
        <f t="shared" ref="AM31:AR31" si="23">SUM(AM28:AM30)</f>
        <v>0</v>
      </c>
      <c r="AN31" s="446">
        <f t="shared" si="23"/>
        <v>0</v>
      </c>
      <c r="AO31" s="446">
        <f t="shared" si="23"/>
        <v>0</v>
      </c>
      <c r="AP31" s="446">
        <f t="shared" si="23"/>
        <v>0</v>
      </c>
      <c r="AQ31" s="446">
        <f t="shared" si="23"/>
        <v>0</v>
      </c>
      <c r="AR31" s="446">
        <f t="shared" si="23"/>
        <v>0</v>
      </c>
      <c r="AS31" s="406"/>
    </row>
    <row r="32" spans="1:45" s="394" customFormat="1" ht="27" customHeight="1" x14ac:dyDescent="0.2">
      <c r="A32" s="397" t="s">
        <v>368</v>
      </c>
      <c r="B32" s="396"/>
      <c r="C32" s="396"/>
      <c r="D32" s="396"/>
      <c r="E32" s="396"/>
      <c r="F32" s="406"/>
      <c r="G32" s="411" t="s">
        <v>306</v>
      </c>
      <c r="H32" s="411" t="s">
        <v>307</v>
      </c>
      <c r="I32" s="411" t="s">
        <v>308</v>
      </c>
      <c r="J32" s="411" t="s">
        <v>309</v>
      </c>
      <c r="K32" s="411" t="s">
        <v>310</v>
      </c>
      <c r="L32" s="406"/>
      <c r="M32" s="411" t="s">
        <v>285</v>
      </c>
      <c r="N32" s="411" t="s">
        <v>286</v>
      </c>
      <c r="O32" s="411" t="s">
        <v>287</v>
      </c>
      <c r="P32" s="411" t="s">
        <v>288</v>
      </c>
      <c r="Q32" s="411" t="s">
        <v>289</v>
      </c>
      <c r="R32" s="411"/>
      <c r="S32" s="411" t="s">
        <v>360</v>
      </c>
      <c r="T32" s="411" t="s">
        <v>361</v>
      </c>
      <c r="U32" s="411" t="s">
        <v>362</v>
      </c>
      <c r="V32" s="411" t="s">
        <v>363</v>
      </c>
      <c r="W32" s="411" t="s">
        <v>364</v>
      </c>
      <c r="X32" s="411" t="s">
        <v>365</v>
      </c>
      <c r="Y32" s="411"/>
      <c r="Z32" s="411" t="s">
        <v>311</v>
      </c>
      <c r="AA32" s="411" t="s">
        <v>312</v>
      </c>
      <c r="AB32" s="411" t="s">
        <v>313</v>
      </c>
      <c r="AC32" s="411" t="s">
        <v>314</v>
      </c>
      <c r="AD32" s="411" t="s">
        <v>315</v>
      </c>
      <c r="AE32" s="411" t="s">
        <v>331</v>
      </c>
      <c r="AF32" s="411"/>
      <c r="AG32" s="411" t="s">
        <v>317</v>
      </c>
      <c r="AH32" s="411" t="s">
        <v>318</v>
      </c>
      <c r="AI32" s="411" t="s">
        <v>319</v>
      </c>
      <c r="AJ32" s="411" t="s">
        <v>320</v>
      </c>
      <c r="AK32" s="411" t="s">
        <v>321</v>
      </c>
      <c r="AL32" s="411"/>
      <c r="AM32" s="411" t="s">
        <v>316</v>
      </c>
      <c r="AN32" s="411" t="s">
        <v>322</v>
      </c>
      <c r="AO32" s="411" t="s">
        <v>323</v>
      </c>
      <c r="AP32" s="411" t="s">
        <v>324</v>
      </c>
      <c r="AQ32" s="411" t="s">
        <v>325</v>
      </c>
      <c r="AR32" s="411" t="s">
        <v>329</v>
      </c>
      <c r="AS32" s="411"/>
    </row>
    <row r="33" spans="1:52" s="394" customFormat="1" ht="11.25" x14ac:dyDescent="0.2">
      <c r="A33" s="398" t="str">
        <f>IF(ISBLANK('R&amp;R Generic Detailed Budget'!B42),"",'R&amp;R Generic Detailed Budget'!B42)</f>
        <v>GE I or II AY effort</v>
      </c>
      <c r="B33" s="399"/>
      <c r="C33" s="399" t="s">
        <v>192</v>
      </c>
      <c r="D33" s="399" t="s">
        <v>192</v>
      </c>
      <c r="E33" s="400">
        <v>9</v>
      </c>
      <c r="F33" s="406"/>
      <c r="G33" s="412" t="str">
        <f>IF(ISBLANK('R&amp;R Generic Detailed Budget'!$E42),"0",'R&amp;R Generic Detailed Budget'!$E42)</f>
        <v>0</v>
      </c>
      <c r="H33" s="412">
        <f>IF('R&amp;R Generic Detailed Budget'!$A$1&gt;1,ROUND((G33*'R&amp;R Generic Detailed Budget'!$V$15),0),0)</f>
        <v>0</v>
      </c>
      <c r="I33" s="412">
        <f>IF('R&amp;R Generic Detailed Budget'!$A$1&gt;2,ROUND((H33*'R&amp;R Generic Detailed Budget'!$V$15),0),0)</f>
        <v>0</v>
      </c>
      <c r="J33" s="412">
        <f>IF('R&amp;R Generic Detailed Budget'!$A$1&gt;2,ROUND((I33*'R&amp;R Generic Detailed Budget'!$V$15),0),0)</f>
        <v>0</v>
      </c>
      <c r="K33" s="412">
        <f>IF('R&amp;R Generic Detailed Budget'!$A$1&gt;2,ROUND((J33*'R&amp;R Generic Detailed Budget'!$V$15),0),0)</f>
        <v>0</v>
      </c>
      <c r="L33" s="406"/>
      <c r="M33" s="402" t="str">
        <f>IF(ISBLANK('R&amp;R Generic Detailed Budget'!$F42),"",'R&amp;R Generic Detailed Budget'!$F42)</f>
        <v/>
      </c>
      <c r="N33" s="402" t="str">
        <f>IF(ISBLANK('R&amp;R Generic Detailed Budget'!$G42),"",'R&amp;R Generic Detailed Budget'!$G42)</f>
        <v/>
      </c>
      <c r="O33" s="402" t="str">
        <f>IF(ISBLANK('R&amp;R Generic Detailed Budget'!$H42),"",'R&amp;R Generic Detailed Budget'!$H42)</f>
        <v/>
      </c>
      <c r="P33" s="402" t="str">
        <f>IF(ISBLANK('R&amp;R Generic Detailed Budget'!$I42),"",'R&amp;R Generic Detailed Budget'!$I42)</f>
        <v/>
      </c>
      <c r="Q33" s="402" t="str">
        <f>IF(ISBLANK('R&amp;R Generic Detailed Budget'!$J42),"",'R&amp;R Generic Detailed Budget'!$J42)</f>
        <v/>
      </c>
      <c r="R33" s="407"/>
      <c r="S33" s="417" t="str">
        <f t="shared" ref="S33:W34" si="24">IFERROR($E33*M33,"")</f>
        <v/>
      </c>
      <c r="T33" s="417" t="str">
        <f t="shared" si="24"/>
        <v/>
      </c>
      <c r="U33" s="417" t="str">
        <f t="shared" si="24"/>
        <v/>
      </c>
      <c r="V33" s="417" t="str">
        <f t="shared" si="24"/>
        <v/>
      </c>
      <c r="W33" s="417" t="str">
        <f t="shared" si="24"/>
        <v/>
      </c>
      <c r="X33" s="417">
        <f>SUM(S33:W33)</f>
        <v>0</v>
      </c>
      <c r="Y33" s="411"/>
      <c r="Z33" s="412">
        <f>IF(ISBLANK('R&amp;R Generic Detailed Budget'!$L42),"",'R&amp;R Generic Detailed Budget'!$L42)</f>
        <v>0</v>
      </c>
      <c r="AA33" s="412">
        <f>IF(ISBLANK('R&amp;R Generic Detailed Budget'!$M42),"",'R&amp;R Generic Detailed Budget'!$M42)</f>
        <v>0</v>
      </c>
      <c r="AB33" s="412">
        <f>IF(ISBLANK('R&amp;R Generic Detailed Budget'!$N42),"",'R&amp;R Generic Detailed Budget'!$N42)</f>
        <v>0</v>
      </c>
      <c r="AC33" s="412">
        <f>IF(ISBLANK('R&amp;R Generic Detailed Budget'!$O42),"",'R&amp;R Generic Detailed Budget'!$O42)</f>
        <v>0</v>
      </c>
      <c r="AD33" s="412">
        <f>IF(ISBLANK('R&amp;R Generic Detailed Budget'!$P42),"",'R&amp;R Generic Detailed Budget'!$P42)</f>
        <v>0</v>
      </c>
      <c r="AE33" s="414">
        <f t="shared" si="9"/>
        <v>0</v>
      </c>
      <c r="AF33" s="407"/>
      <c r="AG33" s="404">
        <f>IF($A33="","",VLOOKUP($D33,OPE_Rates,2,FALSE))</f>
        <v>3.3000000000000002E-2</v>
      </c>
      <c r="AH33" s="404">
        <f>IF('R&amp;R Generic Detailed Budget'!$A$1&gt;1,IF($A33="","",VLOOKUP($D33,OPE_Rates,3,FALSE)),0)</f>
        <v>3.6999999999999998E-2</v>
      </c>
      <c r="AI33" s="404">
        <f>IF('R&amp;R Generic Detailed Budget'!$A$1&gt;2,IF($A33="","",VLOOKUP($D33,OPE_Rates,4,FALSE)),0)</f>
        <v>3.4000000000000002E-2</v>
      </c>
      <c r="AJ33" s="404">
        <f>IF('R&amp;R Generic Detailed Budget'!$A$1&gt;3,IF($A33="","",VLOOKUP($D33,OPE_Rates,5,FALSE)),"")</f>
        <v>3.4000000000000002E-2</v>
      </c>
      <c r="AK33" s="404">
        <f>IF('R&amp;R Generic Detailed Budget'!$A$1&gt;3,IF($A33="","",VLOOKUP($D33,OPE_Rates,6,FALSE)),"")</f>
        <v>3.5200000000000002E-2</v>
      </c>
      <c r="AL33" s="407"/>
      <c r="AM33" s="412">
        <f>ROUND(VLOOKUP($C33,OPE_Rates,2,FALSE)*('Personnel Data'!Z33),0)+'R&amp;R Generic Detailed Budget'!F44*('R&amp;R Generic Detailed Budget'!V7+'R&amp;R Generic Detailed Budget'!V9)</f>
        <v>0</v>
      </c>
      <c r="AN33" s="412">
        <f>ROUND(VLOOKUP($C33,OPE_Rates,3,FALSE)*('Personnel Data'!AA33),0)+'R&amp;R Generic Detailed Budget'!G44*('R&amp;R Generic Detailed Budget'!W7+'R&amp;R Generic Detailed Budget'!W9)</f>
        <v>0</v>
      </c>
      <c r="AO33" s="412">
        <f>ROUND(VLOOKUP($C33,OPE_Rates,4,FALSE)*('Personnel Data'!AB33),0)+'R&amp;R Generic Detailed Budget'!H44*('R&amp;R Generic Detailed Budget'!X7+'R&amp;R Generic Detailed Budget'!X9)</f>
        <v>0</v>
      </c>
      <c r="AP33" s="412">
        <f>ROUND(VLOOKUP($C33,OPE_Rates,5,FALSE)*('Personnel Data'!AC33),0)+'R&amp;R Generic Detailed Budget'!I44*('R&amp;R Generic Detailed Budget'!Y7+'R&amp;R Generic Detailed Budget'!Y9)</f>
        <v>0</v>
      </c>
      <c r="AQ33" s="412">
        <f>ROUND(VLOOKUP($C33,OPE_Rates,6,FALSE)*('Personnel Data'!AD33),0)+'R&amp;R Generic Detailed Budget'!J44*('R&amp;R Generic Detailed Budget'!Z7+'R&amp;R Generic Detailed Budget'!Z9)</f>
        <v>0</v>
      </c>
      <c r="AR33" s="414">
        <f>SUM(AM33:AQ33)</f>
        <v>0</v>
      </c>
      <c r="AS33" s="407"/>
    </row>
    <row r="34" spans="1:52" s="394" customFormat="1" ht="11.25" x14ac:dyDescent="0.2">
      <c r="A34" s="398" t="str">
        <f>IF(ISBLANK('R&amp;R Generic Detailed Budget'!B43),"",'R&amp;R Generic Detailed Budget'!B43)</f>
        <v>GE I or II summer effort</v>
      </c>
      <c r="B34" s="399"/>
      <c r="C34" s="399" t="s">
        <v>192</v>
      </c>
      <c r="D34" s="399" t="s">
        <v>192</v>
      </c>
      <c r="E34" s="400">
        <v>3</v>
      </c>
      <c r="F34" s="406"/>
      <c r="G34" s="413">
        <f>G33/3</f>
        <v>0</v>
      </c>
      <c r="H34" s="412">
        <f>IF('R&amp;R Generic Detailed Budget'!$A$1&gt;1,ROUND((G34*'R&amp;R Generic Detailed Budget'!$V$15),0),0)</f>
        <v>0</v>
      </c>
      <c r="I34" s="412">
        <f>IF('R&amp;R Generic Detailed Budget'!$A$1&gt;2,ROUND((H34*'R&amp;R Generic Detailed Budget'!$V$15),0),0)</f>
        <v>0</v>
      </c>
      <c r="J34" s="412">
        <f>IF('R&amp;R Generic Detailed Budget'!$A$1&gt;2,ROUND((I34*'R&amp;R Generic Detailed Budget'!$V$15),0),0)</f>
        <v>0</v>
      </c>
      <c r="K34" s="412">
        <f>IF('R&amp;R Generic Detailed Budget'!$A$1&gt;2,ROUND((J34*'R&amp;R Generic Detailed Budget'!$V$15),0),0)</f>
        <v>0</v>
      </c>
      <c r="L34" s="406"/>
      <c r="M34" s="402" t="str">
        <f>IF(ISBLANK('R&amp;R Generic Detailed Budget'!$F43),"",'R&amp;R Generic Detailed Budget'!$F43)</f>
        <v/>
      </c>
      <c r="N34" s="402" t="str">
        <f>IF(ISBLANK('R&amp;R Generic Detailed Budget'!$G43),"",'R&amp;R Generic Detailed Budget'!$G43)</f>
        <v/>
      </c>
      <c r="O34" s="402" t="str">
        <f>IF(ISBLANK('R&amp;R Generic Detailed Budget'!$H43),"",'R&amp;R Generic Detailed Budget'!$H43)</f>
        <v/>
      </c>
      <c r="P34" s="402" t="str">
        <f>IF(ISBLANK('R&amp;R Generic Detailed Budget'!$I43),"",'R&amp;R Generic Detailed Budget'!$I43)</f>
        <v/>
      </c>
      <c r="Q34" s="402" t="str">
        <f>IF(ISBLANK('R&amp;R Generic Detailed Budget'!$J43),"",'R&amp;R Generic Detailed Budget'!$J43)</f>
        <v/>
      </c>
      <c r="R34" s="407"/>
      <c r="S34" s="417" t="str">
        <f t="shared" si="24"/>
        <v/>
      </c>
      <c r="T34" s="417" t="str">
        <f t="shared" si="24"/>
        <v/>
      </c>
      <c r="U34" s="417" t="str">
        <f t="shared" si="24"/>
        <v/>
      </c>
      <c r="V34" s="417" t="str">
        <f t="shared" si="24"/>
        <v/>
      </c>
      <c r="W34" s="417" t="str">
        <f t="shared" si="24"/>
        <v/>
      </c>
      <c r="X34" s="417">
        <f>SUM(S34:W34)</f>
        <v>0</v>
      </c>
      <c r="Y34" s="411"/>
      <c r="Z34" s="412">
        <f>IF(ISBLANK('R&amp;R Generic Detailed Budget'!$L43),"",'R&amp;R Generic Detailed Budget'!$L43)</f>
        <v>0</v>
      </c>
      <c r="AA34" s="412">
        <f>IF(ISBLANK('R&amp;R Generic Detailed Budget'!$M43),"",'R&amp;R Generic Detailed Budget'!$M43)</f>
        <v>0</v>
      </c>
      <c r="AB34" s="412">
        <f>IF(ISBLANK('R&amp;R Generic Detailed Budget'!$N43),"",'R&amp;R Generic Detailed Budget'!$N43)</f>
        <v>0</v>
      </c>
      <c r="AC34" s="412">
        <f>IF(ISBLANK('R&amp;R Generic Detailed Budget'!$O43),"",'R&amp;R Generic Detailed Budget'!$O43)</f>
        <v>0</v>
      </c>
      <c r="AD34" s="412">
        <f>IF(ISBLANK('R&amp;R Generic Detailed Budget'!$P43),"",'R&amp;R Generic Detailed Budget'!$P43)</f>
        <v>0</v>
      </c>
      <c r="AE34" s="414">
        <f t="shared" si="9"/>
        <v>0</v>
      </c>
      <c r="AF34" s="407"/>
      <c r="AG34" s="404">
        <f>IF($A34="","",VLOOKUP($D34,OPE_Rates,2,FALSE))</f>
        <v>3.3000000000000002E-2</v>
      </c>
      <c r="AH34" s="404">
        <f>IF('R&amp;R Generic Detailed Budget'!$A$1&gt;1,IF($A34="","",VLOOKUP($D34,OPE_Rates,3,FALSE)),0)</f>
        <v>3.6999999999999998E-2</v>
      </c>
      <c r="AI34" s="404">
        <f>IF('R&amp;R Generic Detailed Budget'!$A$1&gt;2,IF($A34="","",VLOOKUP($D34,OPE_Rates,4,FALSE)),0)</f>
        <v>3.4000000000000002E-2</v>
      </c>
      <c r="AJ34" s="404">
        <f>IF('R&amp;R Generic Detailed Budget'!$A$1&gt;3,IF($A34="","",VLOOKUP($D34,OPE_Rates,5,FALSE)),"")</f>
        <v>3.4000000000000002E-2</v>
      </c>
      <c r="AK34" s="404">
        <f>IF('R&amp;R Generic Detailed Budget'!$A$1&gt;3,IF($A34="","",VLOOKUP($D34,OPE_Rates,6,FALSE)),"")</f>
        <v>3.5200000000000002E-2</v>
      </c>
      <c r="AL34" s="407"/>
      <c r="AM34" s="412">
        <f>ROUND(VLOOKUP($C34,OPE_Rates,2,FALSE)*('Personnel Data'!Z34),0)+'R&amp;R Generic Detailed Budget'!F45*('R&amp;R Generic Detailed Budget'!V8+'R&amp;R Generic Detailed Budget'!V10)</f>
        <v>0</v>
      </c>
      <c r="AN34" s="412">
        <f>ROUND(VLOOKUP($C34,OPE_Rates,3,FALSE)*('Personnel Data'!AA34),0)+'R&amp;R Generic Detailed Budget'!G45*('R&amp;R Generic Detailed Budget'!W8+'R&amp;R Generic Detailed Budget'!W10)</f>
        <v>0</v>
      </c>
      <c r="AO34" s="412">
        <f>ROUND(VLOOKUP($C34,OPE_Rates,4,FALSE)*('Personnel Data'!AB34),0)+'R&amp;R Generic Detailed Budget'!H45*('R&amp;R Generic Detailed Budget'!X8+'R&amp;R Generic Detailed Budget'!X10)</f>
        <v>0</v>
      </c>
      <c r="AP34" s="412">
        <f>ROUND(VLOOKUP($C34,OPE_Rates,5,FALSE)*('Personnel Data'!AC34),0)+'R&amp;R Generic Detailed Budget'!I45*('R&amp;R Generic Detailed Budget'!Y8+'R&amp;R Generic Detailed Budget'!Y10)</f>
        <v>0</v>
      </c>
      <c r="AQ34" s="412">
        <f>ROUND(VLOOKUP($C34,OPE_Rates,6,FALSE)*('Personnel Data'!AD34),0)+'R&amp;R Generic Detailed Budget'!J45*('R&amp;R Generic Detailed Budget'!Z8+'R&amp;R Generic Detailed Budget'!Z10)</f>
        <v>0</v>
      </c>
      <c r="AR34" s="414">
        <f>SUM(AM34:AQ34)</f>
        <v>0</v>
      </c>
      <c r="AS34" s="407"/>
    </row>
    <row r="35" spans="1:52" s="394" customFormat="1" ht="11.25" x14ac:dyDescent="0.2">
      <c r="A35" s="398"/>
      <c r="B35" s="399"/>
      <c r="C35" s="399"/>
      <c r="D35" s="399"/>
      <c r="E35" s="400"/>
      <c r="F35" s="406"/>
      <c r="G35" s="413"/>
      <c r="H35" s="412"/>
      <c r="I35" s="412"/>
      <c r="J35" s="412"/>
      <c r="K35" s="412"/>
      <c r="L35" s="406"/>
      <c r="M35" s="402"/>
      <c r="N35" s="402"/>
      <c r="O35" s="402"/>
      <c r="P35" s="402"/>
      <c r="Q35" s="402"/>
      <c r="R35" s="407"/>
      <c r="S35" s="402"/>
      <c r="T35" s="402"/>
      <c r="U35" s="402"/>
      <c r="V35" s="402"/>
      <c r="W35" s="402"/>
      <c r="X35" s="414"/>
      <c r="Y35" s="411"/>
      <c r="Z35" s="402"/>
      <c r="AA35" s="402"/>
      <c r="AB35" s="402"/>
      <c r="AC35" s="402"/>
      <c r="AD35" s="402"/>
      <c r="AE35" s="414"/>
      <c r="AF35" s="407"/>
      <c r="AG35" s="399"/>
      <c r="AH35" s="399"/>
      <c r="AI35" s="399"/>
      <c r="AJ35" s="399"/>
      <c r="AK35" s="399"/>
      <c r="AL35" s="407"/>
      <c r="AM35" s="412"/>
      <c r="AN35" s="412"/>
      <c r="AO35" s="412"/>
      <c r="AP35" s="412"/>
      <c r="AQ35" s="412"/>
      <c r="AR35" s="414"/>
      <c r="AS35" s="407"/>
    </row>
    <row r="36" spans="1:52" s="394" customFormat="1" ht="11.25" hidden="1" x14ac:dyDescent="0.2">
      <c r="A36" s="398"/>
      <c r="B36" s="399"/>
      <c r="C36" s="399"/>
      <c r="D36" s="399"/>
      <c r="E36" s="400"/>
      <c r="F36" s="406"/>
      <c r="G36" s="413"/>
      <c r="H36" s="412"/>
      <c r="I36" s="412"/>
      <c r="J36" s="412"/>
      <c r="K36" s="412"/>
      <c r="L36" s="406"/>
      <c r="M36" s="402"/>
      <c r="N36" s="402"/>
      <c r="O36" s="402"/>
      <c r="P36" s="402"/>
      <c r="Q36" s="402"/>
      <c r="R36" s="407"/>
      <c r="S36" s="402"/>
      <c r="T36" s="402"/>
      <c r="U36" s="402"/>
      <c r="V36" s="402"/>
      <c r="W36" s="402"/>
      <c r="X36" s="414"/>
      <c r="Y36" s="411"/>
      <c r="Z36" s="402"/>
      <c r="AA36" s="402"/>
      <c r="AB36" s="402"/>
      <c r="AC36" s="402"/>
      <c r="AD36" s="402"/>
      <c r="AE36" s="414"/>
      <c r="AF36" s="407"/>
      <c r="AG36" s="399"/>
      <c r="AH36" s="399"/>
      <c r="AI36" s="399"/>
      <c r="AJ36" s="399"/>
      <c r="AK36" s="399"/>
      <c r="AL36" s="407"/>
      <c r="AM36" s="412"/>
      <c r="AN36" s="412"/>
      <c r="AO36" s="412"/>
      <c r="AP36" s="412"/>
      <c r="AQ36" s="412"/>
      <c r="AR36" s="414"/>
      <c r="AS36" s="407"/>
    </row>
    <row r="37" spans="1:52" s="394" customFormat="1" ht="11.25" hidden="1" x14ac:dyDescent="0.2">
      <c r="A37" s="398"/>
      <c r="B37" s="399"/>
      <c r="C37" s="399"/>
      <c r="D37" s="399"/>
      <c r="E37" s="400"/>
      <c r="F37" s="406"/>
      <c r="G37" s="413"/>
      <c r="H37" s="412"/>
      <c r="I37" s="412"/>
      <c r="J37" s="412"/>
      <c r="K37" s="412"/>
      <c r="L37" s="406"/>
      <c r="M37" s="402"/>
      <c r="N37" s="402"/>
      <c r="O37" s="402"/>
      <c r="P37" s="402"/>
      <c r="Q37" s="402"/>
      <c r="R37" s="407"/>
      <c r="S37" s="402"/>
      <c r="T37" s="402"/>
      <c r="U37" s="402"/>
      <c r="V37" s="402"/>
      <c r="W37" s="402"/>
      <c r="X37" s="414"/>
      <c r="Y37" s="411"/>
      <c r="Z37" s="402"/>
      <c r="AA37" s="402"/>
      <c r="AB37" s="402"/>
      <c r="AC37" s="402"/>
      <c r="AD37" s="402"/>
      <c r="AE37" s="414"/>
      <c r="AF37" s="407"/>
      <c r="AG37" s="399"/>
      <c r="AH37" s="399"/>
      <c r="AI37" s="399"/>
      <c r="AJ37" s="399"/>
      <c r="AK37" s="399"/>
      <c r="AL37" s="407"/>
      <c r="AM37" s="412"/>
      <c r="AN37" s="412"/>
      <c r="AO37" s="412"/>
      <c r="AP37" s="412"/>
      <c r="AQ37" s="412"/>
      <c r="AR37" s="414"/>
      <c r="AS37" s="407"/>
    </row>
    <row r="38" spans="1:52" s="394" customFormat="1" ht="11.25" hidden="1" x14ac:dyDescent="0.2">
      <c r="A38" s="398"/>
      <c r="B38" s="399"/>
      <c r="C38" s="399"/>
      <c r="E38" s="403"/>
      <c r="F38" s="406"/>
      <c r="G38" s="413"/>
      <c r="H38" s="412"/>
      <c r="I38" s="412"/>
      <c r="J38" s="412"/>
      <c r="K38" s="412"/>
      <c r="L38" s="406"/>
      <c r="M38" s="402"/>
      <c r="N38" s="402"/>
      <c r="O38" s="402"/>
      <c r="P38" s="402"/>
      <c r="Q38" s="402"/>
      <c r="R38" s="406"/>
      <c r="S38" s="402"/>
      <c r="T38" s="402"/>
      <c r="U38" s="402"/>
      <c r="V38" s="402"/>
      <c r="W38" s="402"/>
      <c r="X38" s="414"/>
      <c r="Y38" s="411"/>
      <c r="Z38" s="402"/>
      <c r="AA38" s="402"/>
      <c r="AB38" s="402"/>
      <c r="AC38" s="402"/>
      <c r="AD38" s="402"/>
      <c r="AE38" s="414"/>
      <c r="AF38" s="406"/>
      <c r="AL38" s="406"/>
      <c r="AM38" s="412"/>
      <c r="AN38" s="412"/>
      <c r="AO38" s="412"/>
      <c r="AP38" s="412"/>
      <c r="AQ38" s="412"/>
      <c r="AR38" s="414"/>
      <c r="AS38" s="406"/>
    </row>
    <row r="39" spans="1:52" s="394" customFormat="1" ht="11.25" hidden="1" x14ac:dyDescent="0.2">
      <c r="A39" s="398" t="str">
        <f>IF(ISBLANK('R&amp;R Generic Detailed Budget'!B48),"",'R&amp;R Generic Detailed Budget'!B48)</f>
        <v>GE Salaries</v>
      </c>
      <c r="B39" s="399"/>
      <c r="C39" s="399"/>
      <c r="E39" s="403"/>
      <c r="F39" s="406"/>
      <c r="G39" s="413"/>
      <c r="H39" s="412"/>
      <c r="I39" s="412"/>
      <c r="J39" s="412"/>
      <c r="K39" s="412"/>
      <c r="L39" s="406"/>
      <c r="M39" s="402"/>
      <c r="N39" s="402"/>
      <c r="O39" s="402"/>
      <c r="P39" s="402"/>
      <c r="Q39" s="402"/>
      <c r="R39" s="406"/>
      <c r="S39" s="402"/>
      <c r="T39" s="402"/>
      <c r="U39" s="402"/>
      <c r="V39" s="402"/>
      <c r="W39" s="402"/>
      <c r="X39" s="414"/>
      <c r="Y39" s="411"/>
      <c r="Z39" s="402" t="str">
        <f>IF(ISBLANK('R&amp;R Generic Detailed Budget'!$L48),"",'R&amp;R Generic Detailed Budget'!$L48)</f>
        <v/>
      </c>
      <c r="AA39" s="402" t="str">
        <f>IF(ISBLANK('R&amp;R Generic Detailed Budget'!$M48),"",'R&amp;R Generic Detailed Budget'!$M48)</f>
        <v/>
      </c>
      <c r="AB39" s="402" t="str">
        <f>IF(ISBLANK('R&amp;R Generic Detailed Budget'!$N48),"",'R&amp;R Generic Detailed Budget'!$N48)</f>
        <v/>
      </c>
      <c r="AC39" s="402" t="str">
        <f>IF(ISBLANK('R&amp;R Generic Detailed Budget'!$O48),"",'R&amp;R Generic Detailed Budget'!$O48)</f>
        <v/>
      </c>
      <c r="AD39" s="402" t="str">
        <f>IF(ISBLANK('R&amp;R Generic Detailed Budget'!$P48),"",'R&amp;R Generic Detailed Budget'!$P48)</f>
        <v/>
      </c>
      <c r="AE39" s="414">
        <f t="shared" si="9"/>
        <v>0</v>
      </c>
      <c r="AF39" s="406"/>
      <c r="AG39" s="404"/>
      <c r="AH39" s="404"/>
      <c r="AI39" s="404"/>
      <c r="AJ39" s="404"/>
      <c r="AK39" s="404"/>
      <c r="AL39" s="406"/>
      <c r="AM39" s="412"/>
      <c r="AN39" s="412"/>
      <c r="AO39" s="412"/>
      <c r="AP39" s="412"/>
      <c r="AQ39" s="412"/>
      <c r="AR39" s="414"/>
      <c r="AS39" s="406"/>
    </row>
    <row r="40" spans="1:52" s="394" customFormat="1" ht="11.25" x14ac:dyDescent="0.2">
      <c r="A40" s="398" t="str">
        <f>IF(ISBLANK('R&amp;R Generic Detailed Budget'!B49),"",'R&amp;R Generic Detailed Budget'!B49)</f>
        <v>GE III  AY effort</v>
      </c>
      <c r="B40" s="399"/>
      <c r="C40" s="399" t="s">
        <v>192</v>
      </c>
      <c r="D40" s="399" t="s">
        <v>192</v>
      </c>
      <c r="E40" s="400">
        <v>9</v>
      </c>
      <c r="F40" s="406"/>
      <c r="G40" s="412">
        <f>IF(ISBLANK('R&amp;R Generic Detailed Budget'!$E49),"0",'R&amp;R Generic Detailed Budget'!$E49)</f>
        <v>45383.936000000002</v>
      </c>
      <c r="H40" s="412">
        <f>IF('R&amp;R Generic Detailed Budget'!$A$1&gt;1,ROUND((G40*'R&amp;R Generic Detailed Budget'!$V$15),0),0)</f>
        <v>46745</v>
      </c>
      <c r="I40" s="412">
        <f>IF('R&amp;R Generic Detailed Budget'!$A$1&gt;2,ROUND((H40*'R&amp;R Generic Detailed Budget'!$V$15),0),0)</f>
        <v>48147</v>
      </c>
      <c r="J40" s="412">
        <f>IF('R&amp;R Generic Detailed Budget'!$A$1&gt;2,ROUND((I40*'R&amp;R Generic Detailed Budget'!$V$15),0),0)</f>
        <v>49591</v>
      </c>
      <c r="K40" s="412">
        <f>IF('R&amp;R Generic Detailed Budget'!$A$1&gt;2,ROUND((J40*'R&amp;R Generic Detailed Budget'!$V$15),0),0)</f>
        <v>51079</v>
      </c>
      <c r="L40" s="406"/>
      <c r="M40" s="402" t="str">
        <f>IF(ISBLANK('R&amp;R Generic Detailed Budget'!$F49),"",'R&amp;R Generic Detailed Budget'!$F49)</f>
        <v/>
      </c>
      <c r="N40" s="402" t="str">
        <f>IF(ISBLANK('R&amp;R Generic Detailed Budget'!$G49),"",'R&amp;R Generic Detailed Budget'!$G49)</f>
        <v/>
      </c>
      <c r="O40" s="402" t="str">
        <f>IF(ISBLANK('R&amp;R Generic Detailed Budget'!$H49),"",'R&amp;R Generic Detailed Budget'!$H49)</f>
        <v/>
      </c>
      <c r="P40" s="402" t="str">
        <f>IF(ISBLANK('R&amp;R Generic Detailed Budget'!$I49),"",'R&amp;R Generic Detailed Budget'!$I49)</f>
        <v/>
      </c>
      <c r="Q40" s="402" t="str">
        <f>IF(ISBLANK('R&amp;R Generic Detailed Budget'!$J49),"",'R&amp;R Generic Detailed Budget'!$J49)</f>
        <v/>
      </c>
      <c r="R40" s="406"/>
      <c r="S40" s="417" t="str">
        <f t="shared" ref="S40:W41" si="25">IFERROR($E40*M40,"")</f>
        <v/>
      </c>
      <c r="T40" s="417" t="str">
        <f t="shared" si="25"/>
        <v/>
      </c>
      <c r="U40" s="417" t="str">
        <f t="shared" si="25"/>
        <v/>
      </c>
      <c r="V40" s="417" t="str">
        <f t="shared" si="25"/>
        <v/>
      </c>
      <c r="W40" s="417" t="str">
        <f t="shared" si="25"/>
        <v/>
      </c>
      <c r="X40" s="417">
        <f>SUM(S40:W40)</f>
        <v>0</v>
      </c>
      <c r="Y40" s="411"/>
      <c r="Z40" s="412">
        <f>IF(ISBLANK('R&amp;R Generic Detailed Budget'!$L49),"",'R&amp;R Generic Detailed Budget'!$L49)</f>
        <v>0</v>
      </c>
      <c r="AA40" s="412">
        <f>IF(ISBLANK('R&amp;R Generic Detailed Budget'!$M49),"",'R&amp;R Generic Detailed Budget'!$M49)</f>
        <v>0</v>
      </c>
      <c r="AB40" s="412">
        <f>IF(ISBLANK('R&amp;R Generic Detailed Budget'!$N49),"",'R&amp;R Generic Detailed Budget'!$N49)</f>
        <v>0</v>
      </c>
      <c r="AC40" s="412">
        <f>IF(ISBLANK('R&amp;R Generic Detailed Budget'!$O49),"",'R&amp;R Generic Detailed Budget'!$O49)</f>
        <v>0</v>
      </c>
      <c r="AD40" s="412">
        <f>IF(ISBLANK('R&amp;R Generic Detailed Budget'!$P49),"",'R&amp;R Generic Detailed Budget'!$P49)</f>
        <v>0</v>
      </c>
      <c r="AE40" s="414">
        <f t="shared" si="9"/>
        <v>0</v>
      </c>
      <c r="AF40" s="406"/>
      <c r="AG40" s="404">
        <f>IF($A40="","",VLOOKUP($D40,OPE_Rates,2,FALSE))</f>
        <v>3.3000000000000002E-2</v>
      </c>
      <c r="AH40" s="404">
        <f>IF('R&amp;R Generic Detailed Budget'!$A$1&gt;1,IF($A40="","",VLOOKUP($D40,OPE_Rates,3,FALSE)),0)</f>
        <v>3.6999999999999998E-2</v>
      </c>
      <c r="AI40" s="404">
        <f>IF('R&amp;R Generic Detailed Budget'!$A$1&gt;2,IF($A40="","",VLOOKUP($D40,OPE_Rates,4,FALSE)),0)</f>
        <v>3.4000000000000002E-2</v>
      </c>
      <c r="AJ40" s="404">
        <f>IF('R&amp;R Generic Detailed Budget'!$A$1&gt;3,IF($A40="","",VLOOKUP($D40,OPE_Rates,5,FALSE)),"")</f>
        <v>3.4000000000000002E-2</v>
      </c>
      <c r="AK40" s="404">
        <f>IF('R&amp;R Generic Detailed Budget'!$A$1&gt;3,IF($A40="","",VLOOKUP($D40,OPE_Rates,6,FALSE)),"")</f>
        <v>3.5200000000000002E-2</v>
      </c>
      <c r="AL40" s="406"/>
      <c r="AM40" s="412">
        <f>ROUND(VLOOKUP($C40,OPE_Rates,2,FALSE)*('Personnel Data'!Z40),0)+'R&amp;R Generic Detailed Budget'!F51*('R&amp;R Generic Detailed Budget'!V7+'R&amp;R Generic Detailed Budget'!V9)</f>
        <v>0</v>
      </c>
      <c r="AN40" s="412">
        <f>ROUND(VLOOKUP($C40,OPE_Rates,3,FALSE)*('Personnel Data'!AA40),0)+'R&amp;R Generic Detailed Budget'!G51*('R&amp;R Generic Detailed Budget'!W7+'R&amp;R Generic Detailed Budget'!W9)</f>
        <v>0</v>
      </c>
      <c r="AO40" s="412">
        <f>ROUND(VLOOKUP($C40,OPE_Rates,4,FALSE)*('Personnel Data'!AB40),0)+'R&amp;R Generic Detailed Budget'!H51*('R&amp;R Generic Detailed Budget'!X7+'R&amp;R Generic Detailed Budget'!X9)</f>
        <v>0</v>
      </c>
      <c r="AP40" s="412">
        <f>ROUND(VLOOKUP($C40,OPE_Rates,5,FALSE)*('Personnel Data'!AC40),0)+'R&amp;R Generic Detailed Budget'!I51*('R&amp;R Generic Detailed Budget'!Y7+'R&amp;R Generic Detailed Budget'!Y9)</f>
        <v>0</v>
      </c>
      <c r="AQ40" s="412">
        <f>ROUND(VLOOKUP($C40,OPE_Rates,6,FALSE)*('Personnel Data'!AD40),0)+'R&amp;R Generic Detailed Budget'!J51*('R&amp;R Generic Detailed Budget'!Z7+'R&amp;R Generic Detailed Budget'!Z9)</f>
        <v>0</v>
      </c>
      <c r="AR40" s="414">
        <f>SUM(AM40:AQ40)</f>
        <v>0</v>
      </c>
      <c r="AS40" s="406"/>
    </row>
    <row r="41" spans="1:52" s="394" customFormat="1" ht="11.25" x14ac:dyDescent="0.2">
      <c r="A41" s="398" t="str">
        <f>IF(ISBLANK('R&amp;R Generic Detailed Budget'!B50),"",'R&amp;R Generic Detailed Budget'!B50)</f>
        <v>GE III summer effort</v>
      </c>
      <c r="B41" s="399"/>
      <c r="C41" s="399" t="s">
        <v>192</v>
      </c>
      <c r="D41" s="399" t="s">
        <v>192</v>
      </c>
      <c r="E41" s="400">
        <v>3</v>
      </c>
      <c r="F41" s="406"/>
      <c r="G41" s="413">
        <f>G40/3</f>
        <v>15127.978666666668</v>
      </c>
      <c r="H41" s="412">
        <f>IF('R&amp;R Generic Detailed Budget'!$A$1&gt;1,ROUND((G41*'R&amp;R Generic Detailed Budget'!$V$15),0),0)</f>
        <v>15582</v>
      </c>
      <c r="I41" s="412">
        <f>IF('R&amp;R Generic Detailed Budget'!$A$1&gt;2,ROUND((H41*'R&amp;R Generic Detailed Budget'!$V$15),0),0)</f>
        <v>16049</v>
      </c>
      <c r="J41" s="412">
        <f>IF('R&amp;R Generic Detailed Budget'!$A$1&gt;2,ROUND((I41*'R&amp;R Generic Detailed Budget'!$V$15),0),0)</f>
        <v>16530</v>
      </c>
      <c r="K41" s="412">
        <f>IF('R&amp;R Generic Detailed Budget'!$A$1&gt;2,ROUND((J41*'R&amp;R Generic Detailed Budget'!$V$15),0),0)</f>
        <v>17026</v>
      </c>
      <c r="L41" s="406"/>
      <c r="M41" s="402" t="str">
        <f>IF(ISBLANK('R&amp;R Generic Detailed Budget'!$F50),"",'R&amp;R Generic Detailed Budget'!$F50)</f>
        <v/>
      </c>
      <c r="N41" s="402" t="str">
        <f>IF(ISBLANK('R&amp;R Generic Detailed Budget'!$G50),"",'R&amp;R Generic Detailed Budget'!$G50)</f>
        <v/>
      </c>
      <c r="O41" s="402" t="str">
        <f>IF(ISBLANK('R&amp;R Generic Detailed Budget'!$H50),"",'R&amp;R Generic Detailed Budget'!$H50)</f>
        <v/>
      </c>
      <c r="P41" s="402" t="str">
        <f>IF(ISBLANK('R&amp;R Generic Detailed Budget'!$I50),"",'R&amp;R Generic Detailed Budget'!$I50)</f>
        <v/>
      </c>
      <c r="Q41" s="402" t="str">
        <f>IF(ISBLANK('R&amp;R Generic Detailed Budget'!$J50),"",'R&amp;R Generic Detailed Budget'!$J50)</f>
        <v/>
      </c>
      <c r="R41" s="406"/>
      <c r="S41" s="417" t="str">
        <f t="shared" si="25"/>
        <v/>
      </c>
      <c r="T41" s="417" t="str">
        <f t="shared" si="25"/>
        <v/>
      </c>
      <c r="U41" s="417" t="str">
        <f t="shared" si="25"/>
        <v/>
      </c>
      <c r="V41" s="417" t="str">
        <f t="shared" si="25"/>
        <v/>
      </c>
      <c r="W41" s="417" t="str">
        <f t="shared" si="25"/>
        <v/>
      </c>
      <c r="X41" s="417">
        <f>SUM(S41:W41)</f>
        <v>0</v>
      </c>
      <c r="Y41" s="411"/>
      <c r="Z41" s="412">
        <f>IF(ISBLANK('R&amp;R Generic Detailed Budget'!$L50),"",'R&amp;R Generic Detailed Budget'!$L50)</f>
        <v>0</v>
      </c>
      <c r="AA41" s="412">
        <f>IF(ISBLANK('R&amp;R Generic Detailed Budget'!$M50),"",'R&amp;R Generic Detailed Budget'!$M50)</f>
        <v>0</v>
      </c>
      <c r="AB41" s="412">
        <f>IF(ISBLANK('R&amp;R Generic Detailed Budget'!$N50),"",'R&amp;R Generic Detailed Budget'!$N50)</f>
        <v>0</v>
      </c>
      <c r="AC41" s="412">
        <f>IF(ISBLANK('R&amp;R Generic Detailed Budget'!$O50),"",'R&amp;R Generic Detailed Budget'!$O50)</f>
        <v>0</v>
      </c>
      <c r="AD41" s="412">
        <f>IF(ISBLANK('R&amp;R Generic Detailed Budget'!$P50),"",'R&amp;R Generic Detailed Budget'!$P50)</f>
        <v>0</v>
      </c>
      <c r="AE41" s="414">
        <f t="shared" si="9"/>
        <v>0</v>
      </c>
      <c r="AF41" s="406"/>
      <c r="AG41" s="404">
        <f>IF($A41="","",VLOOKUP($D41,OPE_Rates,2,FALSE))</f>
        <v>3.3000000000000002E-2</v>
      </c>
      <c r="AH41" s="404">
        <f>IF('R&amp;R Generic Detailed Budget'!$A$1&gt;1,IF($A41="","",VLOOKUP($D41,OPE_Rates,3,FALSE)),0)</f>
        <v>3.6999999999999998E-2</v>
      </c>
      <c r="AI41" s="404">
        <f>IF('R&amp;R Generic Detailed Budget'!$A$1&gt;2,IF($A41="","",VLOOKUP($D41,OPE_Rates,4,FALSE)),0)</f>
        <v>3.4000000000000002E-2</v>
      </c>
      <c r="AJ41" s="404">
        <f>IF('R&amp;R Generic Detailed Budget'!$A$1&gt;3,IF($A41="","",VLOOKUP($D41,OPE_Rates,5,FALSE)),"")</f>
        <v>3.4000000000000002E-2</v>
      </c>
      <c r="AK41" s="404">
        <f>IF('R&amp;R Generic Detailed Budget'!$A$1&gt;3,IF($A41="","",VLOOKUP($D41,OPE_Rates,6,FALSE)),"")</f>
        <v>3.5200000000000002E-2</v>
      </c>
      <c r="AL41" s="406"/>
      <c r="AM41" s="412">
        <f>ROUND(VLOOKUP($C41,OPE_Rates,2,FALSE)*('Personnel Data'!Z41),0)+'R&amp;R Generic Detailed Budget'!F52*('R&amp;R Generic Detailed Budget'!V8+'R&amp;R Generic Detailed Budget'!V10)</f>
        <v>0</v>
      </c>
      <c r="AN41" s="412">
        <f>ROUND(VLOOKUP($C41,OPE_Rates,3,FALSE)*('Personnel Data'!AA41),0)+'R&amp;R Generic Detailed Budget'!G52*('R&amp;R Generic Detailed Budget'!W8+'R&amp;R Generic Detailed Budget'!W10)</f>
        <v>0</v>
      </c>
      <c r="AO41" s="412">
        <f>ROUND(VLOOKUP($C41,OPE_Rates,4,FALSE)*('Personnel Data'!AB41),0)+'R&amp;R Generic Detailed Budget'!H52*('R&amp;R Generic Detailed Budget'!X8+'R&amp;R Generic Detailed Budget'!X10)</f>
        <v>0</v>
      </c>
      <c r="AP41" s="412">
        <f>ROUND(VLOOKUP($C41,OPE_Rates,5,FALSE)*('Personnel Data'!AC41),0)+'R&amp;R Generic Detailed Budget'!I52*('R&amp;R Generic Detailed Budget'!Y8+'R&amp;R Generic Detailed Budget'!Y10)</f>
        <v>0</v>
      </c>
      <c r="AQ41" s="412">
        <f>ROUND(VLOOKUP($C41,OPE_Rates,6,FALSE)*('Personnel Data'!AD41),0)+'R&amp;R Generic Detailed Budget'!J52*('R&amp;R Generic Detailed Budget'!Z8+'R&amp;R Generic Detailed Budget'!Z10)</f>
        <v>0</v>
      </c>
      <c r="AR41" s="414">
        <f>SUM(AM41:AQ41)</f>
        <v>0</v>
      </c>
      <c r="AS41" s="406"/>
    </row>
    <row r="42" spans="1:52" s="394" customFormat="1" ht="11.25" x14ac:dyDescent="0.2">
      <c r="A42" s="399"/>
      <c r="B42" s="399"/>
      <c r="C42" s="399"/>
      <c r="F42" s="406"/>
      <c r="G42" s="413"/>
      <c r="H42" s="412"/>
      <c r="I42" s="412"/>
      <c r="J42" s="412"/>
      <c r="K42" s="412"/>
      <c r="L42" s="406"/>
      <c r="M42" s="402"/>
      <c r="N42" s="402"/>
      <c r="O42" s="402"/>
      <c r="P42" s="402"/>
      <c r="Q42" s="402"/>
      <c r="R42" s="406"/>
      <c r="S42" s="402" t="str">
        <f>IF(ISBLANK('R&amp;R Generic Detailed Budget'!$L51),"",'R&amp;R Generic Detailed Budget'!$L51)</f>
        <v/>
      </c>
      <c r="T42" s="402" t="str">
        <f>IF(ISBLANK('R&amp;R Generic Detailed Budget'!$M51),"",'R&amp;R Generic Detailed Budget'!$M51)</f>
        <v/>
      </c>
      <c r="U42" s="402" t="str">
        <f>IF(ISBLANK('R&amp;R Generic Detailed Budget'!$N51),"",'R&amp;R Generic Detailed Budget'!$N51)</f>
        <v/>
      </c>
      <c r="V42" s="402" t="str">
        <f>IF(ISBLANK('R&amp;R Generic Detailed Budget'!$O51),"",'R&amp;R Generic Detailed Budget'!$O51)</f>
        <v/>
      </c>
      <c r="W42" s="402" t="str">
        <f>IF(ISBLANK('R&amp;R Generic Detailed Budget'!$P51),"",'R&amp;R Generic Detailed Budget'!$P51)</f>
        <v/>
      </c>
      <c r="X42" s="412"/>
      <c r="Y42" s="411"/>
      <c r="Z42" s="402" t="str">
        <f>IF(ISBLANK('R&amp;R Generic Detailed Budget'!$L51),"",'R&amp;R Generic Detailed Budget'!$L51)</f>
        <v/>
      </c>
      <c r="AA42" s="402" t="str">
        <f>IF(ISBLANK('R&amp;R Generic Detailed Budget'!$M51),"",'R&amp;R Generic Detailed Budget'!$M51)</f>
        <v/>
      </c>
      <c r="AB42" s="402" t="str">
        <f>IF(ISBLANK('R&amp;R Generic Detailed Budget'!$N51),"",'R&amp;R Generic Detailed Budget'!$N51)</f>
        <v/>
      </c>
      <c r="AC42" s="402" t="str">
        <f>IF(ISBLANK('R&amp;R Generic Detailed Budget'!$O51),"",'R&amp;R Generic Detailed Budget'!$O51)</f>
        <v/>
      </c>
      <c r="AD42" s="402" t="str">
        <f>IF(ISBLANK('R&amp;R Generic Detailed Budget'!$P51),"",'R&amp;R Generic Detailed Budget'!$P51)</f>
        <v/>
      </c>
      <c r="AE42" s="412"/>
      <c r="AF42" s="406"/>
      <c r="AL42" s="406"/>
      <c r="AR42" s="412"/>
      <c r="AS42" s="406"/>
    </row>
    <row r="43" spans="1:52" ht="11.25" x14ac:dyDescent="0.2">
      <c r="A43" s="443" t="s">
        <v>339</v>
      </c>
      <c r="B43" s="443" t="s">
        <v>234</v>
      </c>
      <c r="C43" s="443" t="s">
        <v>192</v>
      </c>
      <c r="D43" s="443" t="s">
        <v>192</v>
      </c>
      <c r="E43" s="450"/>
      <c r="F43" s="444"/>
      <c r="G43" s="447"/>
      <c r="H43" s="446"/>
      <c r="I43" s="446"/>
      <c r="J43" s="446"/>
      <c r="K43" s="446"/>
      <c r="L43" s="444"/>
      <c r="M43" s="451"/>
      <c r="N43" s="451"/>
      <c r="O43" s="451"/>
      <c r="P43" s="447"/>
      <c r="Q43" s="447"/>
      <c r="R43" s="450"/>
      <c r="S43" s="452">
        <f t="shared" ref="S43:X43" si="26">SUM(S33:S42)</f>
        <v>0</v>
      </c>
      <c r="T43" s="452">
        <f t="shared" si="26"/>
        <v>0</v>
      </c>
      <c r="U43" s="452">
        <f t="shared" si="26"/>
        <v>0</v>
      </c>
      <c r="V43" s="452">
        <f t="shared" si="26"/>
        <v>0</v>
      </c>
      <c r="W43" s="452">
        <f t="shared" si="26"/>
        <v>0</v>
      </c>
      <c r="X43" s="452">
        <f t="shared" si="26"/>
        <v>0</v>
      </c>
      <c r="Y43" s="449"/>
      <c r="Z43" s="453">
        <f t="shared" ref="Z43:AE43" si="27">SUM(Z33:Z42)</f>
        <v>0</v>
      </c>
      <c r="AA43" s="453">
        <f t="shared" si="27"/>
        <v>0</v>
      </c>
      <c r="AB43" s="453">
        <f t="shared" si="27"/>
        <v>0</v>
      </c>
      <c r="AC43" s="453">
        <f t="shared" si="27"/>
        <v>0</v>
      </c>
      <c r="AD43" s="453">
        <f t="shared" si="27"/>
        <v>0</v>
      </c>
      <c r="AE43" s="453">
        <f t="shared" si="27"/>
        <v>0</v>
      </c>
      <c r="AF43" s="450"/>
      <c r="AG43" s="454">
        <f>IF($A43="","",VLOOKUP($D43,OPE_Rates,2,FALSE))</f>
        <v>3.3000000000000002E-2</v>
      </c>
      <c r="AH43" s="454">
        <f>IF('R&amp;R Generic Detailed Budget'!$A$1&gt;1,IF($A43="","",VLOOKUP($D43,OPE_Rates,3,FALSE)),0)</f>
        <v>3.6999999999999998E-2</v>
      </c>
      <c r="AI43" s="454">
        <f>IF('R&amp;R Generic Detailed Budget'!$A$1&gt;2,IF($A43="","",VLOOKUP($D43,OPE_Rates,4,FALSE)),0)</f>
        <v>3.4000000000000002E-2</v>
      </c>
      <c r="AJ43" s="454">
        <f>IF('R&amp;R Generic Detailed Budget'!$A$1&gt;3,IF($A43="","",VLOOKUP($D43,OPE_Rates,5,FALSE)),"")</f>
        <v>3.4000000000000002E-2</v>
      </c>
      <c r="AK43" s="454">
        <f>IF('R&amp;R Generic Detailed Budget'!$A$1&gt;3,IF($A43="","",VLOOKUP($D43,OPE_Rates,6,FALSE)),"")</f>
        <v>3.5200000000000002E-2</v>
      </c>
      <c r="AL43" s="450"/>
      <c r="AM43" s="446">
        <f>'R&amp;R Generic Detailed Budget'!L85</f>
        <v>0</v>
      </c>
      <c r="AN43" s="446">
        <f>'R&amp;R Generic Detailed Budget'!M85</f>
        <v>0</v>
      </c>
      <c r="AO43" s="446">
        <f>'R&amp;R Generic Detailed Budget'!N85</f>
        <v>0</v>
      </c>
      <c r="AP43" s="446">
        <f>'R&amp;R Generic Detailed Budget'!O85</f>
        <v>0</v>
      </c>
      <c r="AQ43" s="446">
        <f>'R&amp;R Generic Detailed Budget'!P85</f>
        <v>0</v>
      </c>
      <c r="AR43" s="453">
        <f>'R&amp;R Generic Detailed Budget'!Q85</f>
        <v>0</v>
      </c>
      <c r="AS43" s="393"/>
      <c r="AT43" s="394"/>
      <c r="AU43" s="394"/>
      <c r="AV43" s="394"/>
      <c r="AW43" s="394"/>
      <c r="AX43" s="394"/>
      <c r="AY43" s="394"/>
      <c r="AZ43" s="394"/>
    </row>
    <row r="44" spans="1:52" x14ac:dyDescent="0.2">
      <c r="AT44" s="394"/>
      <c r="AU44" s="394"/>
      <c r="AV44" s="394"/>
      <c r="AW44" s="394"/>
      <c r="AX44" s="394"/>
      <c r="AY44" s="394"/>
      <c r="AZ44" s="394"/>
    </row>
    <row r="45" spans="1:52" x14ac:dyDescent="0.2">
      <c r="W45" s="415"/>
      <c r="X45" s="412"/>
      <c r="AD45" s="415" t="s">
        <v>328</v>
      </c>
      <c r="AE45" s="412">
        <f>SUM(AE4:AE19)+SUM(AE21:AE26)+SUM(AE28:AE29)+AE43</f>
        <v>0</v>
      </c>
      <c r="AQ45" s="415" t="s">
        <v>332</v>
      </c>
      <c r="AR45" s="412">
        <f>SUM(AR4:AR19)+SUM(AR21:AR26)+SUM(AR28:AR29)+AR43</f>
        <v>0</v>
      </c>
      <c r="AT45" s="394"/>
      <c r="AU45" s="394"/>
      <c r="AV45" s="394"/>
      <c r="AW45" s="394"/>
      <c r="AX45" s="394"/>
      <c r="AY45" s="394"/>
      <c r="AZ45" s="394"/>
    </row>
    <row r="46" spans="1:52" x14ac:dyDescent="0.2">
      <c r="W46" s="415"/>
      <c r="X46" s="412"/>
      <c r="AD46" s="415" t="s">
        <v>327</v>
      </c>
      <c r="AE46" s="412">
        <f>'R&amp;R Generic Detailed Budget'!$Q$53</f>
        <v>0</v>
      </c>
      <c r="AM46" s="412"/>
      <c r="AQ46" s="415" t="s">
        <v>327</v>
      </c>
      <c r="AR46" s="412">
        <f>'R&amp;R Generic Detailed Budget'!$Q$86</f>
        <v>0</v>
      </c>
    </row>
    <row r="47" spans="1:52" x14ac:dyDescent="0.2">
      <c r="X47" s="412"/>
      <c r="AE47" s="412"/>
      <c r="AM47" s="412"/>
    </row>
    <row r="48" spans="1:52" x14ac:dyDescent="0.2">
      <c r="AM48" s="418"/>
      <c r="AN48" s="418"/>
      <c r="AO48" s="418"/>
      <c r="AP48" s="418"/>
      <c r="AQ48" s="418"/>
    </row>
    <row r="50" spans="39:43" x14ac:dyDescent="0.2">
      <c r="AM50" s="418"/>
      <c r="AN50" s="418"/>
      <c r="AO50" s="418"/>
      <c r="AP50" s="418"/>
      <c r="AQ50" s="418"/>
    </row>
    <row r="51" spans="39:43" x14ac:dyDescent="0.2">
      <c r="AM51" s="418"/>
      <c r="AN51" s="418"/>
      <c r="AO51" s="418"/>
      <c r="AP51" s="418"/>
      <c r="AQ51" s="418"/>
    </row>
  </sheetData>
  <sheetProtection password="CCF6" sheet="1"/>
  <phoneticPr fontId="39"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935E0-6506-4FEC-9E2C-7817E2A0E657}">
  <sheetPr>
    <tabColor rgb="FFCCCCFF"/>
  </sheetPr>
  <dimension ref="B1:G11"/>
  <sheetViews>
    <sheetView workbookViewId="0">
      <selection activeCell="B2" sqref="B2:B4"/>
    </sheetView>
  </sheetViews>
  <sheetFormatPr defaultRowHeight="12.75" x14ac:dyDescent="0.2"/>
  <cols>
    <col min="1" max="1" width="3.42578125" customWidth="1"/>
    <col min="2" max="2" width="19.7109375" customWidth="1"/>
    <col min="3" max="3" width="5.5703125" customWidth="1"/>
    <col min="4" max="4" width="43.42578125" customWidth="1"/>
    <col min="5" max="5" width="27.85546875" customWidth="1"/>
    <col min="6" max="6" width="17.85546875" customWidth="1"/>
  </cols>
  <sheetData>
    <row r="1" spans="2:7" x14ac:dyDescent="0.2">
      <c r="D1" s="538" t="s">
        <v>171</v>
      </c>
      <c r="E1" s="538"/>
      <c r="F1" s="538"/>
      <c r="G1" s="538"/>
    </row>
    <row r="2" spans="2:7" ht="32.65" customHeight="1" x14ac:dyDescent="0.2">
      <c r="B2" s="386" t="s">
        <v>236</v>
      </c>
      <c r="D2" s="385" t="s">
        <v>157</v>
      </c>
      <c r="E2" s="385" t="s">
        <v>303</v>
      </c>
      <c r="F2" s="385" t="s">
        <v>240</v>
      </c>
      <c r="G2" s="423" t="s">
        <v>366</v>
      </c>
    </row>
    <row r="3" spans="2:7" x14ac:dyDescent="0.2">
      <c r="B3" s="348" t="s">
        <v>233</v>
      </c>
      <c r="C3" s="1"/>
      <c r="D3" s="372" t="s">
        <v>185</v>
      </c>
      <c r="E3" s="372" t="s">
        <v>165</v>
      </c>
      <c r="F3" s="349" t="s">
        <v>237</v>
      </c>
      <c r="G3" s="349">
        <v>12</v>
      </c>
    </row>
    <row r="4" spans="2:7" x14ac:dyDescent="0.2">
      <c r="B4" s="348" t="s">
        <v>234</v>
      </c>
      <c r="D4" s="372" t="s">
        <v>194</v>
      </c>
      <c r="E4" s="372" t="s">
        <v>166</v>
      </c>
      <c r="F4" s="349" t="s">
        <v>238</v>
      </c>
      <c r="G4" s="349">
        <v>9</v>
      </c>
    </row>
    <row r="5" spans="2:7" x14ac:dyDescent="0.2">
      <c r="D5" s="372" t="s">
        <v>193</v>
      </c>
      <c r="E5" s="372" t="s">
        <v>167</v>
      </c>
      <c r="F5" s="349" t="s">
        <v>239</v>
      </c>
      <c r="G5" s="349">
        <v>3</v>
      </c>
    </row>
    <row r="6" spans="2:7" x14ac:dyDescent="0.2">
      <c r="D6" s="372" t="s">
        <v>161</v>
      </c>
      <c r="E6" s="372" t="s">
        <v>168</v>
      </c>
      <c r="F6" s="349" t="s">
        <v>237</v>
      </c>
      <c r="G6" s="349">
        <v>12</v>
      </c>
    </row>
    <row r="7" spans="2:7" x14ac:dyDescent="0.2">
      <c r="D7" s="372" t="s">
        <v>162</v>
      </c>
      <c r="E7" s="372" t="s">
        <v>169</v>
      </c>
      <c r="F7" s="349" t="s">
        <v>237</v>
      </c>
      <c r="G7" s="349">
        <v>12</v>
      </c>
    </row>
    <row r="8" spans="2:7" x14ac:dyDescent="0.2">
      <c r="D8" s="372" t="s">
        <v>163</v>
      </c>
      <c r="E8" s="372" t="s">
        <v>170</v>
      </c>
      <c r="F8" s="349" t="s">
        <v>237</v>
      </c>
      <c r="G8" s="349">
        <v>12</v>
      </c>
    </row>
    <row r="9" spans="2:7" x14ac:dyDescent="0.2">
      <c r="D9" s="372" t="s">
        <v>196</v>
      </c>
      <c r="E9" s="372" t="s">
        <v>196</v>
      </c>
      <c r="F9" s="349" t="s">
        <v>237</v>
      </c>
      <c r="G9" s="349">
        <v>12</v>
      </c>
    </row>
    <row r="10" spans="2:7" x14ac:dyDescent="0.2">
      <c r="D10" s="372" t="s">
        <v>192</v>
      </c>
      <c r="E10" s="372" t="s">
        <v>192</v>
      </c>
      <c r="F10" s="349" t="s">
        <v>237</v>
      </c>
      <c r="G10" s="349">
        <v>12</v>
      </c>
    </row>
    <row r="11" spans="2:7" x14ac:dyDescent="0.2">
      <c r="D11" s="372" t="s">
        <v>160</v>
      </c>
      <c r="E11" s="372" t="s">
        <v>167</v>
      </c>
      <c r="F11" s="349" t="s">
        <v>239</v>
      </c>
      <c r="G11" s="349">
        <v>3</v>
      </c>
    </row>
  </sheetData>
  <sheetProtection password="CCF6" sheet="1"/>
  <mergeCells count="1">
    <mergeCell ref="D1:G1"/>
  </mergeCells>
  <phoneticPr fontId="39"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DB577-CDF4-4F4F-BA5A-7EF7E13543C8}">
  <sheetPr>
    <tabColor rgb="FF00B0F0"/>
  </sheetPr>
  <dimension ref="A1:Q34"/>
  <sheetViews>
    <sheetView workbookViewId="0">
      <selection activeCell="I28" sqref="I28"/>
    </sheetView>
  </sheetViews>
  <sheetFormatPr defaultColWidth="9.140625" defaultRowHeight="12.75" x14ac:dyDescent="0.2"/>
  <cols>
    <col min="1" max="1" width="11.42578125" style="28" customWidth="1"/>
    <col min="2" max="8" width="9.140625" style="28"/>
    <col min="9" max="9" width="6.42578125" style="28" customWidth="1"/>
    <col min="10" max="12" width="9.140625" style="28"/>
    <col min="13" max="13" width="28.42578125" style="28" customWidth="1"/>
    <col min="14" max="16384" width="9.140625" style="28"/>
  </cols>
  <sheetData>
    <row r="1" spans="1:17" x14ac:dyDescent="0.2">
      <c r="A1" s="22"/>
      <c r="B1" s="23"/>
      <c r="C1" s="23"/>
      <c r="D1" s="24" t="s">
        <v>56</v>
      </c>
      <c r="E1" s="23"/>
      <c r="F1" s="23"/>
      <c r="G1" s="23"/>
      <c r="H1" s="25"/>
      <c r="I1" s="26"/>
      <c r="J1" s="26"/>
      <c r="K1" s="26"/>
      <c r="L1" s="26"/>
      <c r="M1" s="26"/>
      <c r="N1" s="26"/>
      <c r="O1" s="26"/>
      <c r="P1" s="26"/>
      <c r="Q1" s="27"/>
    </row>
    <row r="2" spans="1:17" x14ac:dyDescent="0.2">
      <c r="A2" s="29"/>
      <c r="B2" s="30"/>
      <c r="C2"/>
      <c r="D2" s="30"/>
      <c r="E2" s="31"/>
      <c r="F2" s="30"/>
      <c r="G2" s="32"/>
      <c r="H2" s="33"/>
      <c r="Q2" s="27"/>
    </row>
    <row r="3" spans="1:17" x14ac:dyDescent="0.2">
      <c r="A3" s="34" t="s">
        <v>57</v>
      </c>
      <c r="B3" s="35"/>
      <c r="C3" s="35"/>
      <c r="D3" s="35"/>
      <c r="E3" s="35"/>
      <c r="F3" s="35"/>
      <c r="G3" s="35"/>
      <c r="H3" s="36"/>
    </row>
    <row r="4" spans="1:17" x14ac:dyDescent="0.2">
      <c r="A4" s="34" t="s">
        <v>58</v>
      </c>
      <c r="B4"/>
      <c r="C4"/>
      <c r="D4"/>
      <c r="E4"/>
      <c r="F4"/>
      <c r="G4"/>
      <c r="H4" s="37"/>
    </row>
    <row r="5" spans="1:17" x14ac:dyDescent="0.2">
      <c r="A5" s="29"/>
      <c r="B5" s="31"/>
      <c r="C5" s="31"/>
      <c r="D5" s="31"/>
      <c r="E5" s="31"/>
      <c r="F5" s="31"/>
      <c r="G5" s="31"/>
      <c r="H5" s="33"/>
    </row>
    <row r="6" spans="1:17" x14ac:dyDescent="0.2">
      <c r="A6" s="38" t="s">
        <v>59</v>
      </c>
      <c r="B6" s="39"/>
      <c r="C6" s="39"/>
      <c r="D6" s="39" t="s">
        <v>60</v>
      </c>
      <c r="E6" s="39"/>
      <c r="F6" s="40"/>
      <c r="G6" s="39" t="s">
        <v>61</v>
      </c>
      <c r="H6" s="41"/>
      <c r="I6" s="42"/>
    </row>
    <row r="7" spans="1:17" x14ac:dyDescent="0.2">
      <c r="A7" s="43" t="s">
        <v>62</v>
      </c>
      <c r="B7" s="44"/>
      <c r="C7" s="39"/>
      <c r="D7" s="44" t="s">
        <v>63</v>
      </c>
      <c r="E7" s="44"/>
      <c r="F7" s="45"/>
      <c r="G7" s="44" t="s">
        <v>64</v>
      </c>
      <c r="H7" s="46"/>
      <c r="I7" s="26"/>
      <c r="J7" s="26"/>
      <c r="K7" s="26"/>
      <c r="L7" s="26"/>
      <c r="M7" s="26"/>
      <c r="N7" s="26"/>
      <c r="O7" s="26"/>
      <c r="P7" s="26"/>
      <c r="Q7" s="27"/>
    </row>
    <row r="8" spans="1:17" x14ac:dyDescent="0.2">
      <c r="A8" s="45"/>
      <c r="B8" s="45"/>
      <c r="C8" s="45"/>
      <c r="D8" s="45"/>
      <c r="E8" s="45"/>
      <c r="F8" s="45"/>
      <c r="G8" s="45"/>
      <c r="H8" s="47"/>
      <c r="I8" s="26"/>
      <c r="J8" s="48" t="s">
        <v>65</v>
      </c>
      <c r="K8" s="48" t="s">
        <v>66</v>
      </c>
      <c r="L8" s="48" t="s">
        <v>67</v>
      </c>
      <c r="M8" s="35"/>
      <c r="N8" s="26"/>
      <c r="O8" s="26"/>
      <c r="P8" s="26"/>
      <c r="Q8" s="27"/>
    </row>
    <row r="9" spans="1:17" x14ac:dyDescent="0.2">
      <c r="A9" s="49" t="s">
        <v>68</v>
      </c>
      <c r="B9" s="50" t="s">
        <v>69</v>
      </c>
      <c r="C9" s="50"/>
      <c r="D9" s="49" t="s">
        <v>68</v>
      </c>
      <c r="E9" s="50" t="s">
        <v>70</v>
      </c>
      <c r="F9" s="40"/>
      <c r="G9" s="49" t="s">
        <v>68</v>
      </c>
      <c r="H9" s="51" t="s">
        <v>70</v>
      </c>
      <c r="J9" s="52">
        <f>B10/12</f>
        <v>4.1674999999999997E-2</v>
      </c>
      <c r="K9" s="53">
        <f>E10/12</f>
        <v>8.3333333333333329E-2</v>
      </c>
      <c r="L9" s="53">
        <f>H10/12</f>
        <v>8.3333333333333329E-2</v>
      </c>
      <c r="M9" t="s">
        <v>71</v>
      </c>
      <c r="N9" s="54"/>
      <c r="O9" s="26"/>
      <c r="P9" s="26"/>
      <c r="Q9" s="27"/>
    </row>
    <row r="10" spans="1:17" x14ac:dyDescent="0.2">
      <c r="A10" s="55">
        <v>0.16669999999999999</v>
      </c>
      <c r="B10" s="56">
        <f>A10*3</f>
        <v>0.50009999999999999</v>
      </c>
      <c r="C10" s="57"/>
      <c r="D10" s="58">
        <f>1/9</f>
        <v>0.1111111111111111</v>
      </c>
      <c r="E10" s="59">
        <f>D10*9</f>
        <v>1</v>
      </c>
      <c r="F10" s="60"/>
      <c r="G10" s="58">
        <f>1/12</f>
        <v>8.3333333333333329E-2</v>
      </c>
      <c r="H10" s="61">
        <f>G10*12</f>
        <v>1</v>
      </c>
      <c r="I10" s="42"/>
      <c r="J10" s="62">
        <f>J9</f>
        <v>4.1674999999999997E-2</v>
      </c>
      <c r="K10" s="62">
        <f>K9</f>
        <v>8.3333333333333329E-2</v>
      </c>
      <c r="L10" s="62">
        <f>L9</f>
        <v>8.3333333333333329E-2</v>
      </c>
      <c r="M10" t="s">
        <v>72</v>
      </c>
    </row>
    <row r="11" spans="1:17" ht="13.5" thickBot="1" x14ac:dyDescent="0.25">
      <c r="A11" s="63"/>
      <c r="B11" s="64"/>
      <c r="C11" s="64"/>
      <c r="D11" s="65"/>
      <c r="E11" s="64"/>
      <c r="F11" s="65"/>
      <c r="G11" s="65"/>
      <c r="H11" s="66"/>
      <c r="I11" s="42"/>
    </row>
    <row r="12" spans="1:17" x14ac:dyDescent="0.2">
      <c r="A12" s="29"/>
      <c r="B12" s="31"/>
      <c r="C12" s="31"/>
      <c r="D12" s="31"/>
      <c r="E12" s="67"/>
      <c r="F12" s="31"/>
      <c r="G12" s="31"/>
      <c r="H12" s="68"/>
      <c r="I12" s="42"/>
    </row>
    <row r="13" spans="1:17" x14ac:dyDescent="0.2">
      <c r="A13" s="69"/>
      <c r="B13" s="70"/>
      <c r="C13" s="70"/>
      <c r="D13" s="71"/>
      <c r="E13" s="71"/>
      <c r="F13" s="71"/>
      <c r="G13" s="71"/>
      <c r="H13" s="72"/>
      <c r="I13" s="42"/>
    </row>
    <row r="14" spans="1:17" x14ac:dyDescent="0.2">
      <c r="A14" s="34" t="s">
        <v>73</v>
      </c>
      <c r="B14" s="35"/>
      <c r="C14" s="35"/>
      <c r="D14" s="35"/>
      <c r="E14" s="35"/>
      <c r="F14" s="35"/>
      <c r="G14" s="35"/>
      <c r="H14" s="36"/>
      <c r="I14" s="42"/>
      <c r="K14" s="28" t="s">
        <v>25</v>
      </c>
      <c r="L14" s="28" t="s">
        <v>25</v>
      </c>
    </row>
    <row r="15" spans="1:17" x14ac:dyDescent="0.2">
      <c r="A15" s="34" t="s">
        <v>74</v>
      </c>
      <c r="B15"/>
      <c r="C15"/>
      <c r="D15"/>
      <c r="E15"/>
      <c r="F15"/>
      <c r="G15"/>
      <c r="H15" s="37"/>
      <c r="I15" s="42"/>
    </row>
    <row r="16" spans="1:17" x14ac:dyDescent="0.2">
      <c r="A16" s="29"/>
      <c r="B16" s="67"/>
      <c r="C16" s="67"/>
      <c r="D16" s="31"/>
      <c r="E16" s="31"/>
      <c r="F16" s="31"/>
      <c r="G16" s="31"/>
      <c r="H16" s="33"/>
      <c r="I16" s="42"/>
    </row>
    <row r="17" spans="1:13" x14ac:dyDescent="0.2">
      <c r="A17" s="539" t="s">
        <v>59</v>
      </c>
      <c r="B17" s="540"/>
      <c r="C17" s="39"/>
      <c r="D17" s="540" t="s">
        <v>60</v>
      </c>
      <c r="E17" s="540"/>
      <c r="F17" s="40"/>
      <c r="G17" s="540" t="s">
        <v>61</v>
      </c>
      <c r="H17" s="541"/>
      <c r="I17" s="42"/>
    </row>
    <row r="18" spans="1:13" x14ac:dyDescent="0.2">
      <c r="A18" s="542" t="s">
        <v>62</v>
      </c>
      <c r="B18" s="543"/>
      <c r="C18" s="39"/>
      <c r="D18" s="543" t="s">
        <v>63</v>
      </c>
      <c r="E18" s="543"/>
      <c r="F18" s="45"/>
      <c r="G18" s="543" t="s">
        <v>64</v>
      </c>
      <c r="H18" s="544"/>
      <c r="I18" s="42"/>
    </row>
    <row r="19" spans="1:13" x14ac:dyDescent="0.2">
      <c r="A19" s="73"/>
      <c r="B19" s="45"/>
      <c r="C19" s="45"/>
      <c r="D19" s="45"/>
      <c r="E19" s="45"/>
      <c r="F19" s="45"/>
      <c r="G19" s="45"/>
      <c r="H19" s="47"/>
      <c r="I19" s="42"/>
      <c r="J19" s="48" t="s">
        <v>65</v>
      </c>
      <c r="K19" s="48" t="s">
        <v>66</v>
      </c>
      <c r="L19" s="48" t="s">
        <v>67</v>
      </c>
      <c r="M19"/>
    </row>
    <row r="20" spans="1:13" x14ac:dyDescent="0.2">
      <c r="A20" s="74" t="s">
        <v>75</v>
      </c>
      <c r="B20" s="49" t="s">
        <v>68</v>
      </c>
      <c r="C20" s="75"/>
      <c r="D20" s="76" t="s">
        <v>75</v>
      </c>
      <c r="E20" s="49" t="s">
        <v>68</v>
      </c>
      <c r="F20" s="77"/>
      <c r="G20" s="76" t="s">
        <v>75</v>
      </c>
      <c r="H20" s="78" t="s">
        <v>68</v>
      </c>
      <c r="I20" s="42"/>
      <c r="J20" s="52">
        <f>A21/12</f>
        <v>8.3333333333333329E-2</v>
      </c>
      <c r="K20" s="53">
        <f>D21/12</f>
        <v>8.3333333333333329E-2</v>
      </c>
      <c r="L20" s="53">
        <f>G21/12</f>
        <v>8.3333333333333329E-2</v>
      </c>
      <c r="M20" t="s">
        <v>71</v>
      </c>
    </row>
    <row r="21" spans="1:13" x14ac:dyDescent="0.2">
      <c r="A21" s="79">
        <v>1</v>
      </c>
      <c r="B21" s="80">
        <f>A21/3</f>
        <v>0.33333333333333331</v>
      </c>
      <c r="C21" s="57"/>
      <c r="D21" s="81">
        <v>1</v>
      </c>
      <c r="E21" s="82">
        <f>D21/9</f>
        <v>0.1111111111111111</v>
      </c>
      <c r="F21" s="60"/>
      <c r="G21" s="81">
        <v>1</v>
      </c>
      <c r="H21" s="83">
        <f>G21/12</f>
        <v>8.3333333333333329E-2</v>
      </c>
      <c r="I21" s="42"/>
      <c r="J21" s="62">
        <f>J20</f>
        <v>8.3333333333333329E-2</v>
      </c>
      <c r="K21" s="62">
        <f>K20</f>
        <v>8.3333333333333329E-2</v>
      </c>
      <c r="L21" s="62">
        <f>L20</f>
        <v>8.3333333333333329E-2</v>
      </c>
      <c r="M21" t="s">
        <v>72</v>
      </c>
    </row>
    <row r="22" spans="1:13" ht="13.5" thickBot="1" x14ac:dyDescent="0.25">
      <c r="A22" s="63"/>
      <c r="B22" s="64"/>
      <c r="C22" s="64"/>
      <c r="D22" s="65"/>
      <c r="E22" s="64"/>
      <c r="F22" s="65"/>
      <c r="G22" s="65"/>
      <c r="H22" s="66"/>
      <c r="I22" s="84"/>
    </row>
    <row r="23" spans="1:13" x14ac:dyDescent="0.2">
      <c r="I23" s="84"/>
    </row>
    <row r="24" spans="1:13" x14ac:dyDescent="0.2">
      <c r="I24" s="84"/>
    </row>
    <row r="25" spans="1:13" x14ac:dyDescent="0.2">
      <c r="I25" s="84"/>
    </row>
    <row r="26" spans="1:13" x14ac:dyDescent="0.2">
      <c r="I26" s="85"/>
    </row>
    <row r="27" spans="1:13" x14ac:dyDescent="0.2">
      <c r="I27" s="85"/>
    </row>
    <row r="28" spans="1:13" x14ac:dyDescent="0.2">
      <c r="I28" s="85"/>
    </row>
    <row r="29" spans="1:13" x14ac:dyDescent="0.2">
      <c r="I29" s="85"/>
    </row>
    <row r="30" spans="1:13" x14ac:dyDescent="0.2">
      <c r="I30" s="85"/>
    </row>
    <row r="31" spans="1:13" x14ac:dyDescent="0.2">
      <c r="I31" s="85"/>
    </row>
    <row r="32" spans="1:13" x14ac:dyDescent="0.2">
      <c r="I32" s="85"/>
    </row>
    <row r="33" spans="1:9" x14ac:dyDescent="0.2">
      <c r="I33" s="85"/>
    </row>
    <row r="34" spans="1:9" x14ac:dyDescent="0.2">
      <c r="A34" s="42"/>
      <c r="B34" s="85"/>
      <c r="C34" s="85"/>
      <c r="D34" s="42"/>
      <c r="E34" s="42"/>
      <c r="F34" s="42"/>
      <c r="G34" s="42"/>
      <c r="H34" s="42"/>
      <c r="I34" s="85"/>
    </row>
  </sheetData>
  <mergeCells count="6">
    <mergeCell ref="A17:B17"/>
    <mergeCell ref="D17:E17"/>
    <mergeCell ref="G17:H17"/>
    <mergeCell ref="A18:B18"/>
    <mergeCell ref="D18:E18"/>
    <mergeCell ref="G18:H18"/>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EBBCA-5E49-4B6F-9481-278DF104ADDB}">
  <sheetPr>
    <tabColor theme="9" tint="-0.249977111117893"/>
  </sheetPr>
  <dimension ref="A1:K29"/>
  <sheetViews>
    <sheetView workbookViewId="0">
      <selection activeCell="C9" sqref="C9"/>
    </sheetView>
  </sheetViews>
  <sheetFormatPr defaultRowHeight="12.75" x14ac:dyDescent="0.2"/>
  <cols>
    <col min="1" max="1" width="17.28515625" customWidth="1"/>
    <col min="2" max="2" width="51.42578125" customWidth="1"/>
    <col min="3" max="3" width="25.42578125" customWidth="1"/>
    <col min="4" max="8" width="13.85546875" customWidth="1"/>
    <col min="9" max="9" width="11.42578125" customWidth="1"/>
  </cols>
  <sheetData>
    <row r="1" spans="1:11" ht="15.75" x14ac:dyDescent="0.25">
      <c r="A1" s="545" t="s">
        <v>93</v>
      </c>
      <c r="B1" s="546"/>
      <c r="C1" s="546"/>
      <c r="D1" s="546"/>
      <c r="E1" s="546"/>
      <c r="F1" s="546"/>
      <c r="G1" s="546"/>
      <c r="H1" s="546"/>
      <c r="I1" s="547"/>
    </row>
    <row r="2" spans="1:11" x14ac:dyDescent="0.2">
      <c r="A2" s="93"/>
      <c r="C2" s="94"/>
      <c r="D2" s="95"/>
      <c r="F2" s="96"/>
      <c r="G2" s="96"/>
      <c r="H2" s="1"/>
      <c r="I2" s="97"/>
    </row>
    <row r="3" spans="1:11" x14ac:dyDescent="0.2">
      <c r="A3" s="98" t="s">
        <v>94</v>
      </c>
      <c r="B3" s="99" t="s">
        <v>95</v>
      </c>
      <c r="C3" s="100">
        <v>221900</v>
      </c>
      <c r="D3" s="131">
        <f>C3/12*9</f>
        <v>166425</v>
      </c>
      <c r="E3" s="131" t="s">
        <v>86</v>
      </c>
      <c r="F3" s="131">
        <f>D3/3</f>
        <v>55475</v>
      </c>
      <c r="G3" s="131" t="s">
        <v>195</v>
      </c>
      <c r="H3" s="94"/>
      <c r="I3" s="97"/>
    </row>
    <row r="4" spans="1:11" ht="14.65" customHeight="1" x14ac:dyDescent="0.2">
      <c r="A4" s="101"/>
      <c r="B4" s="102"/>
      <c r="C4" s="103"/>
      <c r="D4" s="104"/>
      <c r="F4" s="96"/>
      <c r="G4" s="96"/>
      <c r="H4" s="1"/>
      <c r="I4" s="97"/>
      <c r="K4" t="s">
        <v>25</v>
      </c>
    </row>
    <row r="5" spans="1:11" x14ac:dyDescent="0.2">
      <c r="A5" s="105" t="s">
        <v>96</v>
      </c>
      <c r="B5" s="106" t="s">
        <v>97</v>
      </c>
      <c r="C5" s="107">
        <f>C3/2080</f>
        <v>106.68269230769231</v>
      </c>
      <c r="D5" s="108"/>
      <c r="E5" s="94"/>
      <c r="F5" s="94"/>
      <c r="G5" s="94"/>
      <c r="H5" s="94"/>
      <c r="I5" s="97"/>
    </row>
    <row r="6" spans="1:11" x14ac:dyDescent="0.2">
      <c r="A6" s="101"/>
      <c r="B6" s="102"/>
      <c r="C6" s="103"/>
      <c r="D6" s="104" t="s">
        <v>25</v>
      </c>
      <c r="F6" s="96"/>
      <c r="G6" s="96"/>
      <c r="H6" s="1"/>
      <c r="I6" s="97"/>
    </row>
    <row r="7" spans="1:11" x14ac:dyDescent="0.2">
      <c r="A7" s="98" t="s">
        <v>98</v>
      </c>
      <c r="B7" s="99" t="s">
        <v>99</v>
      </c>
      <c r="C7" s="109">
        <v>9</v>
      </c>
      <c r="D7" s="104"/>
      <c r="F7" s="96"/>
      <c r="G7" s="96"/>
      <c r="H7" s="1"/>
      <c r="I7" s="97"/>
    </row>
    <row r="8" spans="1:11" x14ac:dyDescent="0.2">
      <c r="A8" s="98" t="s">
        <v>100</v>
      </c>
      <c r="B8" s="99" t="s">
        <v>101</v>
      </c>
      <c r="C8" s="110">
        <v>166425</v>
      </c>
      <c r="F8" s="337"/>
      <c r="G8" s="96"/>
      <c r="H8" s="1"/>
      <c r="I8" s="97"/>
    </row>
    <row r="9" spans="1:11" ht="14.65" customHeight="1" x14ac:dyDescent="0.2">
      <c r="A9" s="101"/>
      <c r="B9" s="102"/>
      <c r="C9" s="103"/>
      <c r="D9" s="104"/>
      <c r="F9" s="96"/>
      <c r="G9" s="96"/>
      <c r="H9" s="1"/>
      <c r="I9" s="97"/>
    </row>
    <row r="10" spans="1:11" x14ac:dyDescent="0.2">
      <c r="A10" s="101" t="s">
        <v>96</v>
      </c>
      <c r="B10" s="111" t="s">
        <v>102</v>
      </c>
      <c r="C10" s="112">
        <f>IF(C7=12,C8,(C8/9*12))</f>
        <v>221900</v>
      </c>
      <c r="D10" s="113"/>
      <c r="E10" s="113"/>
      <c r="F10" s="96"/>
      <c r="G10" s="96"/>
      <c r="H10" s="1"/>
      <c r="I10" s="97"/>
    </row>
    <row r="11" spans="1:11" x14ac:dyDescent="0.2">
      <c r="A11" s="101" t="s">
        <v>96</v>
      </c>
      <c r="B11" s="111" t="s">
        <v>103</v>
      </c>
      <c r="C11" s="114">
        <f>C8/(173.33*C7)</f>
        <v>106.68474393738342</v>
      </c>
      <c r="D11" s="113"/>
      <c r="E11" s="113"/>
      <c r="F11" s="96"/>
      <c r="G11" s="96"/>
      <c r="H11" s="1"/>
      <c r="I11" s="97"/>
    </row>
    <row r="12" spans="1:11" x14ac:dyDescent="0.2">
      <c r="A12" s="101" t="s">
        <v>96</v>
      </c>
      <c r="B12" s="111" t="s">
        <v>104</v>
      </c>
      <c r="C12" s="115">
        <f>C5/C11</f>
        <v>0.99998076923076917</v>
      </c>
      <c r="D12" s="113"/>
      <c r="E12" s="113"/>
      <c r="F12" s="96"/>
      <c r="G12" s="96"/>
      <c r="H12" s="1"/>
      <c r="I12" s="97"/>
    </row>
    <row r="13" spans="1:11" x14ac:dyDescent="0.2">
      <c r="A13" s="101" t="s">
        <v>96</v>
      </c>
      <c r="B13" s="111" t="s">
        <v>105</v>
      </c>
      <c r="C13" s="115">
        <f>1-C12</f>
        <v>1.9230769230826894E-5</v>
      </c>
      <c r="D13" s="113"/>
      <c r="E13" s="113"/>
      <c r="F13" s="96"/>
      <c r="G13" s="96"/>
      <c r="H13" s="1"/>
      <c r="I13" s="97"/>
    </row>
    <row r="14" spans="1:11" x14ac:dyDescent="0.2">
      <c r="A14" s="101"/>
      <c r="B14" s="102"/>
      <c r="C14" s="116"/>
      <c r="D14" s="117" t="s">
        <v>106</v>
      </c>
      <c r="E14" s="117" t="s">
        <v>107</v>
      </c>
      <c r="F14" s="117" t="s">
        <v>108</v>
      </c>
      <c r="G14" s="117" t="s">
        <v>109</v>
      </c>
      <c r="H14" s="117" t="s">
        <v>110</v>
      </c>
      <c r="I14" s="97"/>
    </row>
    <row r="15" spans="1:11" x14ac:dyDescent="0.2">
      <c r="A15" s="98" t="s">
        <v>111</v>
      </c>
      <c r="B15" s="118" t="s">
        <v>112</v>
      </c>
      <c r="C15" s="119"/>
      <c r="D15" s="120">
        <v>0</v>
      </c>
      <c r="E15" s="120">
        <v>0</v>
      </c>
      <c r="F15" s="120">
        <v>0</v>
      </c>
      <c r="G15" s="120">
        <v>0</v>
      </c>
      <c r="H15" s="120">
        <v>0</v>
      </c>
      <c r="I15" s="97"/>
    </row>
    <row r="16" spans="1:11" x14ac:dyDescent="0.2">
      <c r="A16" s="101"/>
      <c r="B16" s="102"/>
      <c r="C16" s="116"/>
      <c r="D16" s="121"/>
      <c r="E16" s="122"/>
      <c r="F16" s="123"/>
      <c r="G16" s="123"/>
      <c r="H16" s="124"/>
      <c r="I16" s="97"/>
    </row>
    <row r="17" spans="1:9" x14ac:dyDescent="0.2">
      <c r="A17" s="101" t="s">
        <v>96</v>
      </c>
      <c r="B17" s="102" t="s">
        <v>113</v>
      </c>
      <c r="C17" s="122"/>
      <c r="D17" s="125">
        <f>$C$12*D15</f>
        <v>0</v>
      </c>
      <c r="E17" s="125">
        <f>$C$12*E15</f>
        <v>0</v>
      </c>
      <c r="F17" s="125">
        <f>$C$12*F15</f>
        <v>0</v>
      </c>
      <c r="G17" s="125">
        <f>$C$12*G15</f>
        <v>0</v>
      </c>
      <c r="H17" s="125">
        <f>$C$12*H15</f>
        <v>0</v>
      </c>
      <c r="I17" s="97"/>
    </row>
    <row r="18" spans="1:9" x14ac:dyDescent="0.2">
      <c r="A18" s="101" t="s">
        <v>96</v>
      </c>
      <c r="B18" s="102" t="s">
        <v>114</v>
      </c>
      <c r="C18" s="122"/>
      <c r="D18" s="125">
        <f>$C$13*D15</f>
        <v>0</v>
      </c>
      <c r="E18" s="125">
        <f>$C$13*E15</f>
        <v>0</v>
      </c>
      <c r="F18" s="125">
        <f>$C$13*F15</f>
        <v>0</v>
      </c>
      <c r="G18" s="125">
        <f>$C$13*G15</f>
        <v>0</v>
      </c>
      <c r="H18" s="125">
        <f>$C$13*H15</f>
        <v>0</v>
      </c>
      <c r="I18" s="97"/>
    </row>
    <row r="19" spans="1:9" x14ac:dyDescent="0.2">
      <c r="A19" s="101"/>
      <c r="B19" s="102"/>
      <c r="C19" s="116"/>
      <c r="D19" s="121"/>
      <c r="E19" s="122"/>
      <c r="F19" s="123"/>
      <c r="G19" s="123"/>
      <c r="H19" s="124"/>
      <c r="I19" s="97"/>
    </row>
    <row r="20" spans="1:9" x14ac:dyDescent="0.2">
      <c r="A20" s="101" t="s">
        <v>96</v>
      </c>
      <c r="B20" s="102" t="s">
        <v>115</v>
      </c>
      <c r="C20" s="122"/>
      <c r="D20" s="126">
        <f>D17*$C$10</f>
        <v>0</v>
      </c>
      <c r="E20" s="126">
        <f>E17*$C$10</f>
        <v>0</v>
      </c>
      <c r="F20" s="126">
        <f>F17*$C$10</f>
        <v>0</v>
      </c>
      <c r="G20" s="126">
        <f>G17*$C$10</f>
        <v>0</v>
      </c>
      <c r="H20" s="126">
        <f>H17*$C$10</f>
        <v>0</v>
      </c>
      <c r="I20" s="97"/>
    </row>
    <row r="21" spans="1:9" x14ac:dyDescent="0.2">
      <c r="A21" s="101"/>
      <c r="B21" s="102"/>
      <c r="C21" s="116"/>
      <c r="D21" s="121"/>
      <c r="E21" s="122"/>
      <c r="F21" s="123"/>
      <c r="G21" s="123"/>
      <c r="H21" s="124"/>
      <c r="I21" s="97"/>
    </row>
    <row r="22" spans="1:9" x14ac:dyDescent="0.2">
      <c r="A22" s="101" t="s">
        <v>96</v>
      </c>
      <c r="B22" s="102" t="s">
        <v>116</v>
      </c>
      <c r="C22" s="122"/>
      <c r="D22" s="126">
        <f>D18*$C$10</f>
        <v>0</v>
      </c>
      <c r="E22" s="126">
        <f>E18*$C$10</f>
        <v>0</v>
      </c>
      <c r="F22" s="126">
        <f>F18*$C$10</f>
        <v>0</v>
      </c>
      <c r="G22" s="126">
        <f>G18*$C$10</f>
        <v>0</v>
      </c>
      <c r="H22" s="126">
        <f>H18*$C$10</f>
        <v>0</v>
      </c>
      <c r="I22" s="97"/>
    </row>
    <row r="23" spans="1:9" x14ac:dyDescent="0.2">
      <c r="A23" s="93"/>
      <c r="C23" s="113"/>
      <c r="D23" s="113"/>
      <c r="E23" s="113"/>
      <c r="F23" s="113"/>
      <c r="G23" s="113"/>
      <c r="H23" s="113"/>
      <c r="I23" s="97"/>
    </row>
    <row r="24" spans="1:9" x14ac:dyDescent="0.2">
      <c r="A24" s="548" t="s">
        <v>130</v>
      </c>
      <c r="B24" s="549"/>
      <c r="C24" s="332" t="s">
        <v>223</v>
      </c>
      <c r="D24" s="133"/>
      <c r="E24" s="133"/>
      <c r="F24" s="133"/>
      <c r="G24" s="133"/>
      <c r="H24" s="133"/>
      <c r="I24" s="97"/>
    </row>
    <row r="25" spans="1:9" x14ac:dyDescent="0.2">
      <c r="A25" s="128"/>
      <c r="B25" s="127"/>
      <c r="C25" s="129"/>
      <c r="D25" s="129"/>
      <c r="E25" s="129"/>
      <c r="F25" s="129"/>
      <c r="G25" s="129"/>
      <c r="H25" s="129"/>
      <c r="I25" s="97"/>
    </row>
    <row r="26" spans="1:9" x14ac:dyDescent="0.2">
      <c r="A26" s="550" t="s">
        <v>386</v>
      </c>
      <c r="B26" s="551"/>
      <c r="C26" s="475" t="s">
        <v>385</v>
      </c>
      <c r="D26" s="342"/>
      <c r="E26" s="342"/>
      <c r="F26" s="342"/>
      <c r="G26" s="342"/>
      <c r="H26" s="342"/>
      <c r="I26" s="130"/>
    </row>
    <row r="28" spans="1:9" x14ac:dyDescent="0.2">
      <c r="C28" s="131"/>
    </row>
    <row r="29" spans="1:9" x14ac:dyDescent="0.2">
      <c r="B29" t="s">
        <v>25</v>
      </c>
    </row>
  </sheetData>
  <mergeCells count="3">
    <mergeCell ref="A1:I1"/>
    <mergeCell ref="A24:B24"/>
    <mergeCell ref="A26:B26"/>
  </mergeCells>
  <hyperlinks>
    <hyperlink ref="C24" r:id="rId1" xr:uid="{E8861575-CE70-4112-9EF3-CBE03ABCFFA6}"/>
    <hyperlink ref="C26" r:id="rId2" xr:uid="{80C5EA41-4370-481C-96A8-D4CCCDE1EB91}"/>
  </hyperlinks>
  <pageMargins left="0.7" right="0.7" top="0.75" bottom="0.75" header="0.3" footer="0.3"/>
  <pageSetup orientation="portrait"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C745E-AABD-4081-99CE-CA2AAB84C6F0}">
  <sheetPr>
    <tabColor theme="9" tint="0.79998168889431442"/>
  </sheetPr>
  <dimension ref="A1:Q49"/>
  <sheetViews>
    <sheetView topLeftCell="B1" workbookViewId="0">
      <selection activeCell="K25" sqref="K25"/>
    </sheetView>
  </sheetViews>
  <sheetFormatPr defaultRowHeight="12.75" x14ac:dyDescent="0.2"/>
  <cols>
    <col min="1" max="1" width="12.85546875" hidden="1" customWidth="1"/>
    <col min="4" max="4" width="11" customWidth="1"/>
    <col min="5" max="8" width="12.7109375" customWidth="1"/>
    <col min="9" max="10" width="26.7109375" customWidth="1"/>
    <col min="11" max="11" width="9.7109375" customWidth="1"/>
  </cols>
  <sheetData>
    <row r="1" spans="1:14" ht="25.5" x14ac:dyDescent="0.2">
      <c r="A1" s="153"/>
      <c r="B1" s="153"/>
      <c r="C1" s="153"/>
      <c r="D1" s="153"/>
      <c r="E1" s="274" t="s">
        <v>139</v>
      </c>
      <c r="F1" s="274" t="s">
        <v>140</v>
      </c>
      <c r="G1" s="274" t="s">
        <v>141</v>
      </c>
      <c r="H1" s="274" t="s">
        <v>142</v>
      </c>
      <c r="I1" s="274" t="s">
        <v>143</v>
      </c>
      <c r="J1" s="274" t="s">
        <v>144</v>
      </c>
      <c r="K1" s="274" t="s">
        <v>401</v>
      </c>
    </row>
    <row r="2" spans="1:14" hidden="1" x14ac:dyDescent="0.2">
      <c r="A2" s="155" t="s">
        <v>146</v>
      </c>
      <c r="B2" s="153"/>
      <c r="C2" s="153"/>
      <c r="D2" s="153"/>
      <c r="E2" s="273"/>
      <c r="F2" s="273"/>
      <c r="G2" s="273"/>
      <c r="H2" s="273"/>
      <c r="I2" s="273"/>
      <c r="J2" s="273"/>
    </row>
    <row r="3" spans="1:14" hidden="1" x14ac:dyDescent="0.2">
      <c r="A3" s="156">
        <v>41664</v>
      </c>
      <c r="B3" s="153">
        <v>0</v>
      </c>
      <c r="C3" s="154">
        <v>30498</v>
      </c>
      <c r="D3" s="161">
        <v>30863</v>
      </c>
      <c r="E3" s="275">
        <v>45</v>
      </c>
      <c r="F3" s="275">
        <v>31.4</v>
      </c>
      <c r="G3" s="275">
        <v>55</v>
      </c>
      <c r="H3" s="275"/>
      <c r="I3" s="275">
        <v>32</v>
      </c>
      <c r="J3" s="275"/>
    </row>
    <row r="4" spans="1:14" hidden="1" x14ac:dyDescent="0.2">
      <c r="A4" s="154"/>
      <c r="B4" s="153">
        <v>0</v>
      </c>
      <c r="C4" s="154">
        <v>30864</v>
      </c>
      <c r="D4" s="161">
        <v>31228</v>
      </c>
      <c r="E4" s="275">
        <v>41</v>
      </c>
      <c r="F4" s="275">
        <v>25.7</v>
      </c>
      <c r="G4" s="275">
        <v>55</v>
      </c>
      <c r="H4" s="275"/>
      <c r="I4" s="275">
        <v>32</v>
      </c>
      <c r="J4" s="275"/>
    </row>
    <row r="5" spans="1:14" hidden="1" x14ac:dyDescent="0.2">
      <c r="A5" s="153"/>
      <c r="B5" s="153">
        <v>0</v>
      </c>
      <c r="C5" s="154">
        <v>31229</v>
      </c>
      <c r="D5" s="161">
        <v>31593</v>
      </c>
      <c r="E5" s="275">
        <v>41</v>
      </c>
      <c r="F5" s="275">
        <v>25</v>
      </c>
      <c r="G5" s="275">
        <v>55</v>
      </c>
      <c r="H5" s="275"/>
      <c r="I5" s="275">
        <v>32</v>
      </c>
      <c r="J5" s="275"/>
      <c r="M5" t="s">
        <v>25</v>
      </c>
    </row>
    <row r="6" spans="1:14" hidden="1" x14ac:dyDescent="0.2">
      <c r="A6" s="153"/>
      <c r="B6" s="153">
        <v>0</v>
      </c>
      <c r="C6" s="154">
        <v>31594</v>
      </c>
      <c r="D6" s="161">
        <v>31958</v>
      </c>
      <c r="E6" s="275">
        <v>41</v>
      </c>
      <c r="F6" s="275">
        <v>25</v>
      </c>
      <c r="G6" s="275">
        <v>55</v>
      </c>
      <c r="H6" s="275"/>
      <c r="I6" s="275">
        <v>32</v>
      </c>
      <c r="J6" s="275"/>
    </row>
    <row r="7" spans="1:14" hidden="1" x14ac:dyDescent="0.2">
      <c r="A7" s="153"/>
      <c r="B7" s="153">
        <v>0</v>
      </c>
      <c r="C7" s="154">
        <v>31959</v>
      </c>
      <c r="D7" s="161">
        <v>32324</v>
      </c>
      <c r="E7" s="275">
        <v>42</v>
      </c>
      <c r="F7" s="275">
        <v>26</v>
      </c>
      <c r="G7" s="275">
        <v>55</v>
      </c>
      <c r="H7" s="275"/>
      <c r="I7" s="275">
        <v>32.299999999999997</v>
      </c>
      <c r="J7" s="275"/>
    </row>
    <row r="8" spans="1:14" hidden="1" x14ac:dyDescent="0.2">
      <c r="A8" s="153"/>
      <c r="B8" s="153">
        <v>0</v>
      </c>
      <c r="C8" s="154">
        <v>32325</v>
      </c>
      <c r="D8" s="161">
        <v>32689</v>
      </c>
      <c r="E8" s="275">
        <v>42</v>
      </c>
      <c r="F8" s="275">
        <v>26</v>
      </c>
      <c r="G8" s="275">
        <v>55</v>
      </c>
      <c r="H8" s="275"/>
      <c r="I8" s="275">
        <v>32.299999999999997</v>
      </c>
      <c r="J8" s="275"/>
    </row>
    <row r="9" spans="1:14" hidden="1" x14ac:dyDescent="0.2">
      <c r="A9" s="153"/>
      <c r="B9" s="153">
        <v>0</v>
      </c>
      <c r="C9" s="154">
        <v>32690</v>
      </c>
      <c r="D9" s="161">
        <v>33054</v>
      </c>
      <c r="E9" s="275">
        <v>42.3</v>
      </c>
      <c r="F9" s="275">
        <v>26</v>
      </c>
      <c r="G9" s="275">
        <v>55</v>
      </c>
      <c r="H9" s="275"/>
      <c r="I9" s="275">
        <v>32.5</v>
      </c>
      <c r="J9" s="275"/>
    </row>
    <row r="10" spans="1:14" hidden="1" x14ac:dyDescent="0.2">
      <c r="A10" s="153"/>
      <c r="B10" s="153">
        <v>0</v>
      </c>
      <c r="C10" s="154">
        <v>33055</v>
      </c>
      <c r="D10" s="161">
        <v>33419</v>
      </c>
      <c r="E10" s="275">
        <v>42.5</v>
      </c>
      <c r="F10" s="275">
        <v>26</v>
      </c>
      <c r="G10" s="275">
        <v>55</v>
      </c>
      <c r="H10" s="275"/>
      <c r="I10" s="275">
        <v>32.5</v>
      </c>
      <c r="J10" s="275"/>
      <c r="N10" t="s">
        <v>25</v>
      </c>
    </row>
    <row r="11" spans="1:14" hidden="1" x14ac:dyDescent="0.2">
      <c r="A11" s="153"/>
      <c r="B11" s="153">
        <v>0</v>
      </c>
      <c r="C11" s="154">
        <v>33420</v>
      </c>
      <c r="D11" s="161">
        <v>33785</v>
      </c>
      <c r="E11" s="275">
        <v>48</v>
      </c>
      <c r="F11" s="275">
        <v>26</v>
      </c>
      <c r="G11" s="275">
        <v>55</v>
      </c>
      <c r="H11" s="275"/>
      <c r="I11" s="275">
        <v>32.5</v>
      </c>
      <c r="J11" s="275"/>
    </row>
    <row r="12" spans="1:14" hidden="1" x14ac:dyDescent="0.2">
      <c r="A12" s="153"/>
      <c r="B12" s="153">
        <v>0</v>
      </c>
      <c r="C12" s="154">
        <v>33786</v>
      </c>
      <c r="D12" s="161">
        <v>34880</v>
      </c>
      <c r="E12" s="275">
        <v>50</v>
      </c>
      <c r="F12" s="275">
        <v>26</v>
      </c>
      <c r="G12" s="275">
        <v>55</v>
      </c>
      <c r="H12" s="275"/>
      <c r="I12" s="275">
        <v>33</v>
      </c>
      <c r="J12" s="275"/>
    </row>
    <row r="13" spans="1:14" hidden="1" x14ac:dyDescent="0.2">
      <c r="A13" s="153"/>
      <c r="B13" s="153">
        <v>0</v>
      </c>
      <c r="C13" s="154">
        <v>34881</v>
      </c>
      <c r="D13" s="161">
        <v>37072</v>
      </c>
      <c r="E13" s="275">
        <v>50</v>
      </c>
      <c r="F13" s="275">
        <v>26</v>
      </c>
      <c r="G13" s="275">
        <v>55</v>
      </c>
      <c r="H13" s="275"/>
      <c r="I13" s="275">
        <v>33</v>
      </c>
      <c r="J13" s="275"/>
    </row>
    <row r="14" spans="1:14" hidden="1" x14ac:dyDescent="0.2">
      <c r="A14" s="153"/>
      <c r="B14" s="153">
        <v>0</v>
      </c>
      <c r="C14" s="154">
        <v>37073</v>
      </c>
      <c r="D14" s="161">
        <v>37437</v>
      </c>
      <c r="E14" s="275">
        <v>49</v>
      </c>
      <c r="F14" s="275">
        <v>26</v>
      </c>
      <c r="G14" s="275">
        <v>54</v>
      </c>
      <c r="H14" s="275"/>
      <c r="I14" s="275">
        <v>32</v>
      </c>
      <c r="J14" s="275"/>
    </row>
    <row r="15" spans="1:14" hidden="1" x14ac:dyDescent="0.2">
      <c r="A15" s="153"/>
      <c r="B15" s="153">
        <v>0</v>
      </c>
      <c r="C15" s="154">
        <v>37438</v>
      </c>
      <c r="D15" s="161">
        <v>38168</v>
      </c>
      <c r="E15" s="275">
        <v>49</v>
      </c>
      <c r="F15" s="275">
        <v>26</v>
      </c>
      <c r="G15" s="275">
        <v>54</v>
      </c>
      <c r="H15" s="275"/>
      <c r="I15" s="275">
        <v>32</v>
      </c>
      <c r="J15" s="275"/>
    </row>
    <row r="16" spans="1:14" hidden="1" x14ac:dyDescent="0.2">
      <c r="A16" s="153"/>
      <c r="B16" s="153">
        <v>0</v>
      </c>
      <c r="C16" s="154">
        <v>38169</v>
      </c>
      <c r="D16" s="161">
        <v>38533</v>
      </c>
      <c r="E16" s="275">
        <v>49</v>
      </c>
      <c r="F16" s="275">
        <v>26</v>
      </c>
      <c r="G16" s="275"/>
      <c r="H16" s="275"/>
      <c r="I16" s="275"/>
      <c r="J16" s="275"/>
    </row>
    <row r="17" spans="2:17" hidden="1" x14ac:dyDescent="0.2">
      <c r="B17" s="153">
        <v>0</v>
      </c>
      <c r="C17" s="154">
        <v>38534</v>
      </c>
      <c r="D17" s="161">
        <v>38898</v>
      </c>
      <c r="E17" s="275">
        <v>48.5</v>
      </c>
      <c r="F17" s="275">
        <v>26</v>
      </c>
      <c r="G17" s="275">
        <v>54</v>
      </c>
      <c r="H17" s="275"/>
      <c r="I17" s="275">
        <v>32</v>
      </c>
      <c r="J17" s="275"/>
    </row>
    <row r="18" spans="2:17" hidden="1" x14ac:dyDescent="0.2">
      <c r="B18" s="153">
        <v>0</v>
      </c>
      <c r="C18" s="154">
        <v>38899</v>
      </c>
      <c r="D18" s="161">
        <v>39263</v>
      </c>
      <c r="E18" s="275">
        <v>48</v>
      </c>
      <c r="F18" s="275">
        <v>26</v>
      </c>
      <c r="G18" s="275">
        <v>54</v>
      </c>
      <c r="H18" s="275"/>
      <c r="I18" s="275">
        <v>32</v>
      </c>
      <c r="J18" s="275"/>
    </row>
    <row r="19" spans="2:17" hidden="1" x14ac:dyDescent="0.2">
      <c r="B19" s="153">
        <v>0</v>
      </c>
      <c r="C19" s="154">
        <v>39264</v>
      </c>
      <c r="D19" s="161">
        <v>39629</v>
      </c>
      <c r="E19" s="275">
        <v>48</v>
      </c>
      <c r="F19" s="275">
        <v>26</v>
      </c>
      <c r="G19" s="275">
        <v>54</v>
      </c>
      <c r="H19" s="275">
        <v>23.8</v>
      </c>
      <c r="I19" s="275">
        <v>32</v>
      </c>
      <c r="J19" s="275">
        <v>25.6</v>
      </c>
    </row>
    <row r="20" spans="2:17" hidden="1" x14ac:dyDescent="0.2">
      <c r="B20" s="153">
        <v>0</v>
      </c>
      <c r="C20" s="154">
        <v>39630</v>
      </c>
      <c r="D20" s="161">
        <v>40724</v>
      </c>
      <c r="E20" s="275">
        <v>42</v>
      </c>
      <c r="F20" s="275">
        <v>26</v>
      </c>
      <c r="G20" s="275">
        <v>53</v>
      </c>
      <c r="H20" s="275">
        <v>26</v>
      </c>
      <c r="I20" s="275">
        <v>29</v>
      </c>
      <c r="J20" s="275">
        <v>23.8</v>
      </c>
    </row>
    <row r="21" spans="2:17" hidden="1" x14ac:dyDescent="0.2">
      <c r="B21" s="153">
        <v>0</v>
      </c>
      <c r="C21" s="154">
        <v>40725</v>
      </c>
      <c r="D21" s="161">
        <v>41090</v>
      </c>
      <c r="E21" s="275">
        <v>42</v>
      </c>
      <c r="F21" s="275">
        <v>26</v>
      </c>
      <c r="G21" s="275">
        <v>53</v>
      </c>
      <c r="H21" s="275">
        <v>26</v>
      </c>
      <c r="I21" s="275">
        <v>29</v>
      </c>
      <c r="J21" s="275">
        <v>23.8</v>
      </c>
    </row>
    <row r="22" spans="2:17" hidden="1" x14ac:dyDescent="0.2">
      <c r="B22" s="153">
        <v>0</v>
      </c>
      <c r="C22" s="154">
        <v>41091</v>
      </c>
      <c r="D22" s="161">
        <v>41820</v>
      </c>
      <c r="E22" s="275">
        <v>45</v>
      </c>
      <c r="F22" s="275">
        <v>26</v>
      </c>
      <c r="G22" s="275">
        <v>59.4</v>
      </c>
      <c r="H22" s="275">
        <v>26</v>
      </c>
      <c r="I22" s="275">
        <v>30.7</v>
      </c>
      <c r="J22" s="275">
        <v>24.3</v>
      </c>
      <c r="O22" t="s">
        <v>25</v>
      </c>
    </row>
    <row r="23" spans="2:17" hidden="1" x14ac:dyDescent="0.2">
      <c r="B23" s="153">
        <v>0</v>
      </c>
      <c r="C23" s="154">
        <v>41821</v>
      </c>
      <c r="D23" s="161">
        <v>42185</v>
      </c>
      <c r="E23" s="275">
        <v>45</v>
      </c>
      <c r="F23" s="275">
        <v>26</v>
      </c>
      <c r="G23" s="275">
        <v>59.4</v>
      </c>
      <c r="H23" s="275">
        <v>26</v>
      </c>
      <c r="I23" s="275">
        <v>30.7</v>
      </c>
      <c r="J23" s="275">
        <v>24.3</v>
      </c>
      <c r="O23" t="s">
        <v>25</v>
      </c>
    </row>
    <row r="24" spans="2:17" hidden="1" x14ac:dyDescent="0.2">
      <c r="B24" s="153">
        <v>0</v>
      </c>
      <c r="C24" s="154">
        <v>42186</v>
      </c>
      <c r="D24" s="161">
        <v>42551</v>
      </c>
      <c r="E24" s="275">
        <v>45</v>
      </c>
      <c r="F24" s="275">
        <v>26</v>
      </c>
      <c r="G24" s="275">
        <v>59.4</v>
      </c>
      <c r="H24" s="275">
        <v>26</v>
      </c>
      <c r="I24" s="275">
        <v>30.7</v>
      </c>
      <c r="J24" s="275">
        <v>24.3</v>
      </c>
    </row>
    <row r="25" spans="2:17" x14ac:dyDescent="0.2">
      <c r="B25" s="153">
        <v>0</v>
      </c>
      <c r="C25" s="154">
        <v>43282</v>
      </c>
      <c r="D25" s="161">
        <v>43646</v>
      </c>
      <c r="E25" s="275">
        <v>47.5</v>
      </c>
      <c r="F25" s="275">
        <v>26</v>
      </c>
      <c r="G25" s="275">
        <v>46</v>
      </c>
      <c r="H25" s="275">
        <v>26</v>
      </c>
      <c r="I25" s="275">
        <v>30.7</v>
      </c>
      <c r="J25" s="275">
        <v>26</v>
      </c>
      <c r="K25" s="520">
        <v>8</v>
      </c>
    </row>
    <row r="26" spans="2:17" x14ac:dyDescent="0.2">
      <c r="B26" s="153">
        <v>0</v>
      </c>
      <c r="C26" s="154">
        <v>43647</v>
      </c>
      <c r="D26" s="161">
        <v>44377</v>
      </c>
      <c r="E26" s="275">
        <v>47.5</v>
      </c>
      <c r="F26" s="275">
        <v>26</v>
      </c>
      <c r="G26" s="275">
        <v>46</v>
      </c>
      <c r="H26" s="275">
        <v>26</v>
      </c>
      <c r="I26" s="275">
        <v>30.7</v>
      </c>
      <c r="J26" s="275">
        <v>26</v>
      </c>
      <c r="K26" s="520">
        <v>8</v>
      </c>
    </row>
    <row r="27" spans="2:17" x14ac:dyDescent="0.2">
      <c r="B27" s="153">
        <v>0</v>
      </c>
      <c r="C27" s="154">
        <v>44378</v>
      </c>
      <c r="D27" s="161">
        <v>45107</v>
      </c>
      <c r="E27" s="275">
        <v>47.5</v>
      </c>
      <c r="F27" s="275">
        <v>26</v>
      </c>
      <c r="G27" s="275">
        <v>46</v>
      </c>
      <c r="H27" s="275">
        <v>26</v>
      </c>
      <c r="I27" s="275">
        <v>30.7</v>
      </c>
      <c r="J27" s="275">
        <v>26</v>
      </c>
      <c r="K27" s="520">
        <v>8</v>
      </c>
      <c r="Q27" t="s">
        <v>25</v>
      </c>
    </row>
    <row r="28" spans="2:17" x14ac:dyDescent="0.2">
      <c r="B28" s="153">
        <v>0</v>
      </c>
      <c r="C28" s="154">
        <v>45108</v>
      </c>
      <c r="D28" s="161">
        <v>46568</v>
      </c>
      <c r="E28" s="275">
        <v>49</v>
      </c>
      <c r="F28" s="275">
        <v>26</v>
      </c>
      <c r="G28" s="275">
        <v>48</v>
      </c>
      <c r="H28" s="275">
        <v>26</v>
      </c>
      <c r="I28" s="275">
        <v>33</v>
      </c>
      <c r="J28" s="275">
        <v>26</v>
      </c>
      <c r="K28" s="521">
        <v>8</v>
      </c>
    </row>
    <row r="29" spans="2:17" x14ac:dyDescent="0.2">
      <c r="C29" s="154"/>
      <c r="D29" s="154"/>
    </row>
    <row r="31" spans="2:17" x14ac:dyDescent="0.2">
      <c r="B31" s="153"/>
      <c r="C31" s="157"/>
      <c r="D31" s="158"/>
      <c r="E31" s="153"/>
      <c r="F31" s="153"/>
      <c r="G31" s="153"/>
      <c r="H31" s="153"/>
      <c r="I31" s="153"/>
      <c r="J31" s="153"/>
    </row>
    <row r="32" spans="2:17" x14ac:dyDescent="0.2">
      <c r="B32" s="153"/>
      <c r="C32" s="157"/>
      <c r="E32" s="153"/>
      <c r="F32" s="153"/>
      <c r="G32" s="153"/>
      <c r="H32" s="153"/>
      <c r="I32" s="153"/>
      <c r="J32" s="153"/>
    </row>
    <row r="33" spans="2:10" x14ac:dyDescent="0.2">
      <c r="B33" s="153"/>
      <c r="C33" s="153"/>
      <c r="D33" s="159"/>
      <c r="E33" s="153"/>
      <c r="F33" s="153"/>
      <c r="G33" s="153"/>
      <c r="H33" s="153"/>
      <c r="I33" s="153"/>
      <c r="J33" s="153"/>
    </row>
    <row r="34" spans="2:10" x14ac:dyDescent="0.2">
      <c r="B34" s="153"/>
      <c r="C34" s="153"/>
      <c r="D34" s="160"/>
      <c r="E34" s="153"/>
      <c r="F34" s="153"/>
      <c r="G34" s="153"/>
      <c r="H34" s="153"/>
      <c r="I34" s="153"/>
      <c r="J34" s="153"/>
    </row>
    <row r="35" spans="2:10" x14ac:dyDescent="0.2">
      <c r="B35" s="153"/>
      <c r="C35" s="153"/>
      <c r="D35" s="159"/>
      <c r="E35" s="153"/>
      <c r="F35" s="153"/>
      <c r="G35" s="153"/>
      <c r="H35" s="153"/>
      <c r="I35" s="153"/>
      <c r="J35" s="153"/>
    </row>
    <row r="49" spans="15:15" x14ac:dyDescent="0.2">
      <c r="O49" t="s">
        <v>25</v>
      </c>
    </row>
  </sheetData>
  <sheetProtection algorithmName="SHA-512" hashValue="adREiLmguDTJO8h71AH3jjRqlPSjWYNYMPLYCts1a0l63HsWd3NpyqQHveesSlYlZWChgxOmlImr77I2Mu4Mag==" saltValue="+sTh+QkcBn8v9Pr2YCbEHQ==" spinCount="100000" sheet="1" objects="1" scenarios="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41912-57BD-4599-B7BA-D7090F2686EC}">
  <sheetPr>
    <tabColor rgb="FF7030A0"/>
  </sheetPr>
  <dimension ref="A1:O198"/>
  <sheetViews>
    <sheetView zoomScale="90" zoomScaleNormal="90" workbookViewId="0">
      <selection activeCell="G26" sqref="G26"/>
    </sheetView>
  </sheetViews>
  <sheetFormatPr defaultRowHeight="12.75" x14ac:dyDescent="0.2"/>
  <cols>
    <col min="1" max="1" width="40.42578125" customWidth="1"/>
    <col min="2" max="7" width="11.7109375" customWidth="1"/>
    <col min="8" max="8" width="11.7109375" hidden="1" customWidth="1"/>
    <col min="9" max="9" width="66.5703125" customWidth="1"/>
    <col min="10" max="10" width="10.85546875" customWidth="1"/>
    <col min="11" max="12" width="9.140625" customWidth="1"/>
  </cols>
  <sheetData>
    <row r="1" spans="1:15" ht="15" x14ac:dyDescent="0.25">
      <c r="A1" s="554" t="s">
        <v>199</v>
      </c>
      <c r="B1" s="313" t="s">
        <v>200</v>
      </c>
      <c r="D1" s="313"/>
      <c r="E1" s="313"/>
      <c r="F1" s="313"/>
      <c r="G1" s="493"/>
      <c r="I1" s="494"/>
    </row>
    <row r="2" spans="1:15" ht="15.75" thickBot="1" x14ac:dyDescent="0.3">
      <c r="A2" s="554"/>
      <c r="B2" s="313" t="s">
        <v>387</v>
      </c>
      <c r="D2" s="313"/>
      <c r="E2" s="313"/>
      <c r="F2" s="313"/>
      <c r="G2" s="493"/>
      <c r="I2" s="494"/>
    </row>
    <row r="3" spans="1:15" ht="15.75" thickBot="1" x14ac:dyDescent="0.3">
      <c r="A3" s="501">
        <f>'R&amp;R Generic Detailed Budget'!R5</f>
        <v>46279</v>
      </c>
      <c r="B3" s="555" t="s">
        <v>388</v>
      </c>
      <c r="C3" s="556"/>
      <c r="D3" s="555" t="s">
        <v>389</v>
      </c>
      <c r="E3" s="557"/>
      <c r="F3" s="556"/>
      <c r="G3" s="503" t="s">
        <v>392</v>
      </c>
    </row>
    <row r="4" spans="1:15" ht="15.75" x14ac:dyDescent="0.2">
      <c r="A4" s="552" t="s">
        <v>158</v>
      </c>
      <c r="B4" s="314">
        <v>2026</v>
      </c>
      <c r="C4" s="317">
        <v>2027</v>
      </c>
      <c r="D4" s="335">
        <v>2028</v>
      </c>
      <c r="E4" s="335">
        <v>2029</v>
      </c>
      <c r="F4" s="335">
        <v>2030</v>
      </c>
      <c r="G4" s="509">
        <v>2031</v>
      </c>
      <c r="H4" s="496">
        <v>2032</v>
      </c>
      <c r="I4" s="552" t="s">
        <v>159</v>
      </c>
    </row>
    <row r="5" spans="1:15" ht="16.5" thickBot="1" x14ac:dyDescent="0.25">
      <c r="A5" s="553"/>
      <c r="B5" s="315" t="s">
        <v>164</v>
      </c>
      <c r="C5" s="318" t="s">
        <v>164</v>
      </c>
      <c r="D5" s="336" t="s">
        <v>164</v>
      </c>
      <c r="E5" s="336" t="s">
        <v>164</v>
      </c>
      <c r="F5" s="336" t="s">
        <v>164</v>
      </c>
      <c r="G5" s="510" t="s">
        <v>164</v>
      </c>
      <c r="H5" s="497" t="s">
        <v>164</v>
      </c>
      <c r="I5" s="553"/>
      <c r="J5" s="284"/>
    </row>
    <row r="6" spans="1:15" ht="60.75" thickBot="1" x14ac:dyDescent="0.25">
      <c r="A6" s="476" t="s">
        <v>165</v>
      </c>
      <c r="B6" s="525">
        <v>0.76500000000000001</v>
      </c>
      <c r="C6" s="526">
        <v>0.77400000000000002</v>
      </c>
      <c r="D6" s="526">
        <v>0.78400000000000003</v>
      </c>
      <c r="E6" s="526">
        <v>0.77300000000000002</v>
      </c>
      <c r="F6" s="526">
        <v>0.77800000000000002</v>
      </c>
      <c r="G6" s="512">
        <f>AVERAGE(B6:F6)</f>
        <v>0.77480000000000016</v>
      </c>
      <c r="H6" s="498">
        <f>AVERAGE(C6:G6)</f>
        <v>0.77676000000000001</v>
      </c>
      <c r="I6" s="477" t="s">
        <v>186</v>
      </c>
      <c r="J6" s="284"/>
    </row>
    <row r="7" spans="1:15" ht="45.75" thickBot="1" x14ac:dyDescent="0.25">
      <c r="A7" s="296" t="s">
        <v>166</v>
      </c>
      <c r="B7" s="513">
        <v>0.52900000000000003</v>
      </c>
      <c r="C7" s="514">
        <v>0.51100000000000001</v>
      </c>
      <c r="D7" s="514">
        <v>0.504</v>
      </c>
      <c r="E7" s="514">
        <v>0.501</v>
      </c>
      <c r="F7" s="514">
        <v>0.502</v>
      </c>
      <c r="G7" s="512">
        <f t="shared" ref="G7:G13" si="0">AVERAGE(B7:F7)</f>
        <v>0.50939999999999996</v>
      </c>
      <c r="H7" s="498">
        <f t="shared" ref="H7:H13" si="1">AVERAGE(C7:G7)</f>
        <v>0.50547999999999993</v>
      </c>
      <c r="I7" s="319" t="s">
        <v>191</v>
      </c>
      <c r="J7" s="284"/>
    </row>
    <row r="8" spans="1:15" ht="45.75" thickBot="1" x14ac:dyDescent="0.25">
      <c r="A8" s="476" t="s">
        <v>167</v>
      </c>
      <c r="B8" s="511">
        <v>0.34200000000000003</v>
      </c>
      <c r="C8" s="512">
        <v>0.34</v>
      </c>
      <c r="D8" s="512">
        <v>0.317</v>
      </c>
      <c r="E8" s="512">
        <v>0.32900000000000001</v>
      </c>
      <c r="F8" s="512">
        <v>0.32900000000000001</v>
      </c>
      <c r="G8" s="512">
        <f t="shared" si="0"/>
        <v>0.33140000000000003</v>
      </c>
      <c r="H8" s="498">
        <f t="shared" si="1"/>
        <v>0.32927999999999996</v>
      </c>
      <c r="I8" s="477" t="s">
        <v>197</v>
      </c>
      <c r="J8" s="284"/>
      <c r="O8" s="502"/>
    </row>
    <row r="9" spans="1:15" ht="45.75" thickBot="1" x14ac:dyDescent="0.25">
      <c r="A9" s="296" t="s">
        <v>168</v>
      </c>
      <c r="B9" s="513">
        <v>1.0489999999999999</v>
      </c>
      <c r="C9" s="514">
        <v>1.0740000000000001</v>
      </c>
      <c r="D9" s="514">
        <v>1.0940000000000001</v>
      </c>
      <c r="E9" s="514">
        <v>1.0489999999999999</v>
      </c>
      <c r="F9" s="514">
        <v>1.0640000000000001</v>
      </c>
      <c r="G9" s="512">
        <f t="shared" si="0"/>
        <v>1.0660000000000001</v>
      </c>
      <c r="H9" s="498">
        <f t="shared" si="1"/>
        <v>1.0694000000000001</v>
      </c>
      <c r="I9" s="319" t="s">
        <v>187</v>
      </c>
      <c r="J9" s="284"/>
    </row>
    <row r="10" spans="1:15" ht="30.75" thickBot="1" x14ac:dyDescent="0.25">
      <c r="A10" s="476" t="s">
        <v>169</v>
      </c>
      <c r="B10" s="511">
        <v>0.82299999999999995</v>
      </c>
      <c r="C10" s="512">
        <v>0.91</v>
      </c>
      <c r="D10" s="512">
        <v>0.90100000000000002</v>
      </c>
      <c r="E10" s="512">
        <v>0.89100000000000001</v>
      </c>
      <c r="F10" s="512">
        <v>0.89800000000000002</v>
      </c>
      <c r="G10" s="512">
        <f t="shared" si="0"/>
        <v>0.88460000000000005</v>
      </c>
      <c r="H10" s="498">
        <f t="shared" si="1"/>
        <v>0.89692000000000005</v>
      </c>
      <c r="I10" s="477" t="s">
        <v>188</v>
      </c>
      <c r="J10" s="284"/>
    </row>
    <row r="11" spans="1:15" ht="30.75" thickBot="1" x14ac:dyDescent="0.25">
      <c r="A11" s="296" t="s">
        <v>170</v>
      </c>
      <c r="B11" s="513">
        <v>0.79600000000000004</v>
      </c>
      <c r="C11" s="514">
        <v>0.80200000000000005</v>
      </c>
      <c r="D11" s="514">
        <v>0.81399999999999995</v>
      </c>
      <c r="E11" s="514">
        <v>0.79300000000000004</v>
      </c>
      <c r="F11" s="514">
        <v>0.79800000000000004</v>
      </c>
      <c r="G11" s="512">
        <f t="shared" si="0"/>
        <v>0.80059999999999998</v>
      </c>
      <c r="H11" s="498">
        <f t="shared" si="1"/>
        <v>0.80152000000000001</v>
      </c>
      <c r="I11" s="319" t="s">
        <v>189</v>
      </c>
      <c r="J11" s="284"/>
    </row>
    <row r="12" spans="1:15" ht="45.75" thickBot="1" x14ac:dyDescent="0.25">
      <c r="A12" s="476" t="s">
        <v>196</v>
      </c>
      <c r="B12" s="511">
        <v>0.26100000000000001</v>
      </c>
      <c r="C12" s="512">
        <v>0.32300000000000001</v>
      </c>
      <c r="D12" s="512">
        <v>0.218</v>
      </c>
      <c r="E12" s="512">
        <v>0.31</v>
      </c>
      <c r="F12" s="512">
        <v>0.313</v>
      </c>
      <c r="G12" s="512">
        <f t="shared" si="0"/>
        <v>0.28500000000000003</v>
      </c>
      <c r="H12" s="498">
        <f t="shared" si="1"/>
        <v>0.28979999999999995</v>
      </c>
      <c r="I12" s="477" t="s">
        <v>198</v>
      </c>
      <c r="J12" s="284"/>
    </row>
    <row r="13" spans="1:15" ht="30.75" thickBot="1" x14ac:dyDescent="0.25">
      <c r="A13" s="296" t="s">
        <v>192</v>
      </c>
      <c r="B13" s="515">
        <v>3.7999999999999999E-2</v>
      </c>
      <c r="C13" s="516">
        <v>3.3000000000000002E-2</v>
      </c>
      <c r="D13" s="516">
        <v>3.6999999999999998E-2</v>
      </c>
      <c r="E13" s="516">
        <v>3.4000000000000002E-2</v>
      </c>
      <c r="F13" s="516">
        <v>3.4000000000000002E-2</v>
      </c>
      <c r="G13" s="512">
        <f t="shared" si="0"/>
        <v>3.5200000000000002E-2</v>
      </c>
      <c r="H13" s="498">
        <f t="shared" si="1"/>
        <v>3.4640000000000004E-2</v>
      </c>
      <c r="I13" s="319" t="s">
        <v>190</v>
      </c>
      <c r="J13" s="284"/>
    </row>
    <row r="14" spans="1:15" x14ac:dyDescent="0.2">
      <c r="A14" s="495"/>
      <c r="B14" s="284"/>
      <c r="C14" s="284"/>
      <c r="D14" s="284"/>
      <c r="E14" s="284"/>
      <c r="F14" s="316"/>
      <c r="G14" s="277"/>
      <c r="H14" s="277"/>
      <c r="I14" s="277"/>
      <c r="M14" s="284"/>
    </row>
    <row r="15" spans="1:15" ht="16.5" hidden="1" thickBot="1" x14ac:dyDescent="0.3">
      <c r="A15" s="297" t="s">
        <v>171</v>
      </c>
      <c r="B15" s="297" t="s">
        <v>391</v>
      </c>
      <c r="C15" s="297" t="s">
        <v>164</v>
      </c>
      <c r="D15" s="297" t="s">
        <v>164</v>
      </c>
      <c r="E15" s="320" t="s">
        <v>164</v>
      </c>
      <c r="F15" s="324" t="s">
        <v>164</v>
      </c>
      <c r="G15" s="499" t="s">
        <v>164</v>
      </c>
      <c r="H15" s="499" t="s">
        <v>164</v>
      </c>
      <c r="I15" s="491" t="s">
        <v>390</v>
      </c>
      <c r="K15" s="290"/>
    </row>
    <row r="16" spans="1:15" ht="15.75" hidden="1" thickBot="1" x14ac:dyDescent="0.3">
      <c r="A16" s="298" t="s">
        <v>165</v>
      </c>
      <c r="B16" s="299"/>
      <c r="C16" s="299">
        <f t="shared" ref="C16:H23" si="2">+C6/B6-1</f>
        <v>1.1764705882352899E-2</v>
      </c>
      <c r="D16" s="299">
        <f t="shared" si="2"/>
        <v>1.2919896640826822E-2</v>
      </c>
      <c r="E16" s="321">
        <f t="shared" si="2"/>
        <v>-1.4030612244897989E-2</v>
      </c>
      <c r="F16" s="322">
        <f t="shared" si="2"/>
        <v>6.4683053040104355E-3</v>
      </c>
      <c r="G16" s="500">
        <f t="shared" si="2"/>
        <v>-4.1131105398456436E-3</v>
      </c>
      <c r="H16" s="500">
        <f t="shared" si="2"/>
        <v>2.529685080020494E-3</v>
      </c>
      <c r="I16" s="492">
        <f>AVERAGE(C16:H16)</f>
        <v>2.5898116870778365E-3</v>
      </c>
      <c r="K16" s="290"/>
    </row>
    <row r="17" spans="1:13" ht="15.75" hidden="1" thickBot="1" x14ac:dyDescent="0.3">
      <c r="A17" s="298" t="s">
        <v>166</v>
      </c>
      <c r="B17" s="299"/>
      <c r="C17" s="299">
        <f t="shared" si="2"/>
        <v>-3.4026465028355379E-2</v>
      </c>
      <c r="D17" s="299">
        <f t="shared" si="2"/>
        <v>-1.3698630136986356E-2</v>
      </c>
      <c r="E17" s="321">
        <f t="shared" si="2"/>
        <v>-5.9523809523809312E-3</v>
      </c>
      <c r="F17" s="322">
        <f t="shared" si="2"/>
        <v>1.9960079840319889E-3</v>
      </c>
      <c r="G17" s="500">
        <f t="shared" si="2"/>
        <v>1.4741035856573603E-2</v>
      </c>
      <c r="H17" s="500">
        <f t="shared" si="2"/>
        <v>-7.6953278366707067E-3</v>
      </c>
      <c r="I17" s="492">
        <f t="shared" ref="I17:I23" si="3">AVERAGE(C17:H17)</f>
        <v>-7.4392933522979638E-3</v>
      </c>
      <c r="K17" s="290"/>
    </row>
    <row r="18" spans="1:13" ht="15.75" hidden="1" thickBot="1" x14ac:dyDescent="0.3">
      <c r="A18" s="298" t="s">
        <v>167</v>
      </c>
      <c r="B18" s="299"/>
      <c r="C18" s="299">
        <f t="shared" si="2"/>
        <v>-5.8479532163743242E-3</v>
      </c>
      <c r="D18" s="299">
        <f t="shared" si="2"/>
        <v>-6.7647058823529505E-2</v>
      </c>
      <c r="E18" s="321">
        <f t="shared" si="2"/>
        <v>3.7854889589905349E-2</v>
      </c>
      <c r="F18" s="322">
        <f t="shared" si="2"/>
        <v>0</v>
      </c>
      <c r="G18" s="500">
        <f t="shared" si="2"/>
        <v>7.2948328267476992E-3</v>
      </c>
      <c r="H18" s="500">
        <f t="shared" si="2"/>
        <v>-6.3971031985518012E-3</v>
      </c>
      <c r="I18" s="492">
        <f t="shared" si="3"/>
        <v>-5.7903988036337633E-3</v>
      </c>
      <c r="K18" s="290"/>
    </row>
    <row r="19" spans="1:13" ht="15.75" hidden="1" thickBot="1" x14ac:dyDescent="0.3">
      <c r="A19" s="298" t="s">
        <v>168</v>
      </c>
      <c r="B19" s="299"/>
      <c r="C19" s="299">
        <f t="shared" si="2"/>
        <v>2.3832221163012424E-2</v>
      </c>
      <c r="D19" s="299">
        <f t="shared" si="2"/>
        <v>1.862197392923659E-2</v>
      </c>
      <c r="E19" s="321">
        <f t="shared" si="2"/>
        <v>-4.1133455210237813E-2</v>
      </c>
      <c r="F19" s="322">
        <f t="shared" si="2"/>
        <v>1.4299332697807587E-2</v>
      </c>
      <c r="G19" s="500">
        <f t="shared" si="2"/>
        <v>1.879699248120259E-3</v>
      </c>
      <c r="H19" s="500">
        <f t="shared" si="2"/>
        <v>3.189493433396029E-3</v>
      </c>
      <c r="I19" s="492">
        <f t="shared" si="3"/>
        <v>3.4482108768891795E-3</v>
      </c>
      <c r="K19" s="290"/>
    </row>
    <row r="20" spans="1:13" ht="15.75" hidden="1" customHeight="1" thickBot="1" x14ac:dyDescent="0.3">
      <c r="A20" s="298" t="s">
        <v>169</v>
      </c>
      <c r="B20" s="299"/>
      <c r="C20" s="299">
        <f t="shared" si="2"/>
        <v>0.10571081409477534</v>
      </c>
      <c r="D20" s="299">
        <f t="shared" si="2"/>
        <v>-9.890109890109855E-3</v>
      </c>
      <c r="E20" s="321">
        <f t="shared" si="2"/>
        <v>-1.1098779134295245E-2</v>
      </c>
      <c r="F20" s="322">
        <f t="shared" si="2"/>
        <v>7.8563411896745983E-3</v>
      </c>
      <c r="G20" s="500">
        <f t="shared" si="2"/>
        <v>-1.492204899777283E-2</v>
      </c>
      <c r="H20" s="500">
        <f t="shared" si="2"/>
        <v>1.3927198733890922E-2</v>
      </c>
      <c r="I20" s="492">
        <f t="shared" si="3"/>
        <v>1.5263902666027155E-2</v>
      </c>
      <c r="K20" s="290"/>
    </row>
    <row r="21" spans="1:13" ht="15.75" hidden="1" thickBot="1" x14ac:dyDescent="0.3">
      <c r="A21" s="298" t="s">
        <v>170</v>
      </c>
      <c r="B21" s="299"/>
      <c r="C21" s="299">
        <f t="shared" si="2"/>
        <v>7.5376884422111434E-3</v>
      </c>
      <c r="D21" s="299">
        <f t="shared" si="2"/>
        <v>1.4962593516209433E-2</v>
      </c>
      <c r="E21" s="321">
        <f t="shared" si="2"/>
        <v>-2.5798525798525707E-2</v>
      </c>
      <c r="F21" s="322">
        <f t="shared" si="2"/>
        <v>6.3051702395964249E-3</v>
      </c>
      <c r="G21" s="500">
        <f t="shared" si="2"/>
        <v>3.2581453634084045E-3</v>
      </c>
      <c r="H21" s="500">
        <f t="shared" si="2"/>
        <v>1.1491381463901718E-3</v>
      </c>
      <c r="I21" s="492">
        <f t="shared" si="3"/>
        <v>1.2357016515483117E-3</v>
      </c>
      <c r="K21" s="290"/>
    </row>
    <row r="22" spans="1:13" ht="15.75" hidden="1" thickBot="1" x14ac:dyDescent="0.3">
      <c r="A22" s="298" t="s">
        <v>196</v>
      </c>
      <c r="B22" s="299"/>
      <c r="C22" s="299">
        <f t="shared" si="2"/>
        <v>0.23754789272030652</v>
      </c>
      <c r="D22" s="299">
        <f t="shared" si="2"/>
        <v>-0.32507739938080493</v>
      </c>
      <c r="E22" s="321">
        <f t="shared" si="2"/>
        <v>0.42201834862385312</v>
      </c>
      <c r="F22" s="322">
        <f t="shared" si="2"/>
        <v>9.6774193548387899E-3</v>
      </c>
      <c r="G22" s="500">
        <f t="shared" si="2"/>
        <v>-8.9456869009584605E-2</v>
      </c>
      <c r="H22" s="500">
        <f t="shared" si="2"/>
        <v>1.6842105263157547E-2</v>
      </c>
      <c r="I22" s="492">
        <f t="shared" si="3"/>
        <v>4.5258582928627743E-2</v>
      </c>
      <c r="K22" s="290"/>
    </row>
    <row r="23" spans="1:13" ht="15.75" hidden="1" thickBot="1" x14ac:dyDescent="0.3">
      <c r="A23" s="298" t="s">
        <v>192</v>
      </c>
      <c r="B23" s="299"/>
      <c r="C23" s="299">
        <f t="shared" si="2"/>
        <v>-0.13157894736842102</v>
      </c>
      <c r="D23" s="299">
        <f t="shared" si="2"/>
        <v>0.1212121212121211</v>
      </c>
      <c r="E23" s="321">
        <f t="shared" si="2"/>
        <v>-8.1081081081080919E-2</v>
      </c>
      <c r="F23" s="323">
        <f t="shared" si="2"/>
        <v>0</v>
      </c>
      <c r="G23" s="500">
        <f t="shared" si="2"/>
        <v>3.529411764705892E-2</v>
      </c>
      <c r="H23" s="500">
        <f t="shared" si="2"/>
        <v>-1.5909090909090873E-2</v>
      </c>
      <c r="I23" s="492">
        <f t="shared" si="3"/>
        <v>-1.2010480083235464E-2</v>
      </c>
      <c r="K23" s="290"/>
    </row>
    <row r="24" spans="1:13" ht="14.25" x14ac:dyDescent="0.2">
      <c r="A24" s="490" t="s">
        <v>172</v>
      </c>
      <c r="B24" s="464">
        <f>YEAR('R&amp;R Generic Detailed Budget'!L7)</f>
        <v>2027</v>
      </c>
      <c r="C24" s="464">
        <f>YEAR('R&amp;R Generic Detailed Budget'!M7)</f>
        <v>2028</v>
      </c>
      <c r="D24" s="464">
        <f>YEAR('R&amp;R Generic Detailed Budget'!N7)</f>
        <v>2029</v>
      </c>
      <c r="E24" s="464">
        <f>YEAR('R&amp;R Generic Detailed Budget'!O7)</f>
        <v>2030</v>
      </c>
      <c r="F24" s="464">
        <f>YEAR('R&amp;R Generic Detailed Budget'!P7)</f>
        <v>2031</v>
      </c>
      <c r="G24" s="464"/>
      <c r="H24" s="300"/>
      <c r="I24" s="300"/>
      <c r="M24" s="290"/>
    </row>
    <row r="25" spans="1:13" ht="14.25" x14ac:dyDescent="0.2">
      <c r="A25" s="490" t="s">
        <v>173</v>
      </c>
      <c r="B25" s="300">
        <f>MAX(0,MIN(12,B24-$B$4))</f>
        <v>1</v>
      </c>
      <c r="C25" s="300">
        <f>MAX(0,MIN(12,C24-$B$4))</f>
        <v>2</v>
      </c>
      <c r="D25" s="300">
        <f>MAX(0,MIN(12,D24-$B$4))</f>
        <v>3</v>
      </c>
      <c r="E25" s="300">
        <f>MAX(0,MIN(12,E24-$B$4))</f>
        <v>4</v>
      </c>
      <c r="F25" s="300">
        <f>MAX(0,MIN(12,F24-$B$4))</f>
        <v>5</v>
      </c>
      <c r="G25" s="300"/>
      <c r="H25" s="300"/>
      <c r="I25" s="300"/>
      <c r="M25" s="290"/>
    </row>
    <row r="26" spans="1:13" ht="15.75" x14ac:dyDescent="0.25">
      <c r="A26" s="284" t="s">
        <v>165</v>
      </c>
      <c r="B26" s="338">
        <f t="shared" ref="B26:B33" si="4">IF($C$24&lt;=$H$4,(+VLOOKUP($A26,$A$6:$H$13,B$25+2,FALSE)*(VLOOKUP($A26,$A$16:$I$23,9,FALSE)^(MAX(0,$C$24-$H$4)))),H6)</f>
        <v>0.77400000000000002</v>
      </c>
      <c r="C26" s="339">
        <f>IF('R&amp;R Generic Detailed Budget'!$S$9="N",B26,IF($D$24&lt;=$H$4,(+VLOOKUP($A26,$A$6:$H$13,C$25+2,FALSE)*(VLOOKUP($A26,$A$16:$I$23,9,FALSE)^(MAX(0,$D$24-$H$4)))),H6))</f>
        <v>0.78400000000000003</v>
      </c>
      <c r="D26" s="339">
        <f>IF('R&amp;R Generic Detailed Budget'!$S$9="N",B26,IF($E$24&lt;=$H$4,(+VLOOKUP($A26,$A$6:$H$13,D$25+2,FALSE)*(VLOOKUP($A26,$A$16:$I$23,9,FALSE)^(MAX(0,$E$24-$H$4)))),H6))</f>
        <v>0.77300000000000002</v>
      </c>
      <c r="E26" s="339">
        <f>IF('R&amp;R Generic Detailed Budget'!$S$9="N",C26,IF($E$24&lt;=$H$4,(+VLOOKUP($A26,$A$6:$H$13,E$25+2,FALSE)*(VLOOKUP($A26,$A$16:$I$23,9,FALSE)^(MAX(0,$E$24-$H$4)))),H6))</f>
        <v>0.77800000000000002</v>
      </c>
      <c r="F26" s="339">
        <f>IF('R&amp;R Generic Detailed Budget'!$S$9="N",D26,IF($E$24&lt;=$H$4,(+VLOOKUP($A26,$A$6:$H$13,F$25+2,FALSE)*(VLOOKUP($A26,$A$16:$I$23,9,FALSE)^(MAX(0,$E$24-$H$4)))),H6))</f>
        <v>0.77480000000000016</v>
      </c>
      <c r="G26" s="339"/>
      <c r="H26" s="326"/>
      <c r="I26" s="96"/>
      <c r="M26" s="290"/>
    </row>
    <row r="27" spans="1:13" ht="15.75" x14ac:dyDescent="0.25">
      <c r="A27" s="284" t="s">
        <v>166</v>
      </c>
      <c r="B27" s="338">
        <f t="shared" si="4"/>
        <v>0.51100000000000001</v>
      </c>
      <c r="C27" s="339">
        <f>IF('R&amp;R Generic Detailed Budget'!$S$9="N",B27,IF($D$24&lt;=$H$4,(+VLOOKUP($A27,$A$6:$H$13,C$25+2,FALSE)*(VLOOKUP($A27,$A$16:$I$23,9,FALSE)^(MAX(0,$D$24-$H$4)))),H7))</f>
        <v>0.504</v>
      </c>
      <c r="D27" s="339">
        <f>IF('R&amp;R Generic Detailed Budget'!$S$9="N",B27,IF($E$24&lt;=$H$4,(+VLOOKUP($A27,$A$6:$H$13,D$25+2,FALSE)*(VLOOKUP($A27,$A$16:$I$23,9,FALSE)^(MAX(0,$E$24-$H$4)))),H7))</f>
        <v>0.501</v>
      </c>
      <c r="E27" s="339">
        <f>IF('R&amp;R Generic Detailed Budget'!$S$9="N",C27,IF($E$24&lt;=$H$4,(+VLOOKUP($A27,$A$6:$H$13,E$25+2,FALSE)*(VLOOKUP($A27,$A$16:$I$23,9,FALSE)^(MAX(0,$E$24-$H$4)))),H7))</f>
        <v>0.502</v>
      </c>
      <c r="F27" s="339">
        <f>IF('R&amp;R Generic Detailed Budget'!$S$9="N",D27,IF($E$24&lt;=$H$4,(+VLOOKUP($A27,$A$6:$H$13,F$25+2,FALSE)*(VLOOKUP($A27,$A$16:$I$23,9,FALSE)^(MAX(0,$E$24-$H$4)))),H7))</f>
        <v>0.50939999999999996</v>
      </c>
      <c r="G27" s="339"/>
      <c r="H27" s="327"/>
      <c r="I27" s="96"/>
      <c r="M27" s="290"/>
    </row>
    <row r="28" spans="1:13" ht="15.75" x14ac:dyDescent="0.25">
      <c r="A28" s="284" t="s">
        <v>167</v>
      </c>
      <c r="B28" s="338">
        <f t="shared" si="4"/>
        <v>0.34</v>
      </c>
      <c r="C28" s="339">
        <f>IF('R&amp;R Generic Detailed Budget'!$S$9="N",B28,IF($D$24&lt;=$H$4,(+VLOOKUP($A28,$A$6:$H$13,C$25+2,FALSE)*(VLOOKUP($A28,$A$16:$I$23,9,FALSE)^(MAX(0,$D$24-$H$4)))),H8))</f>
        <v>0.317</v>
      </c>
      <c r="D28" s="339">
        <f>IF('R&amp;R Generic Detailed Budget'!$S$9="N",B28,IF($E$24&lt;=$H$4,(+VLOOKUP($A28,$A$6:$H$13,D$25+2,FALSE)*(VLOOKUP($A28,$A$16:$I$23,9,FALSE)^(MAX(0,$E$24-$H$4)))),H8))</f>
        <v>0.32900000000000001</v>
      </c>
      <c r="E28" s="339">
        <f>IF('R&amp;R Generic Detailed Budget'!$S$9="N",C28,IF($E$24&lt;=$H$4,(+VLOOKUP($A28,$A$6:$H$13,E$25+2,FALSE)*(VLOOKUP($A28,$A$16:$I$23,9,FALSE)^(MAX(0,$E$24-$H$4)))),H8))</f>
        <v>0.32900000000000001</v>
      </c>
      <c r="F28" s="339">
        <f>IF('R&amp;R Generic Detailed Budget'!$S$9="N",D28,IF($E$24&lt;=$H$4,(+VLOOKUP($A28,$A$6:$H$13,F$25+2,FALSE)*(VLOOKUP($A28,$A$16:$I$23,9,FALSE)^(MAX(0,$E$24-$H$4)))),H8))</f>
        <v>0.33140000000000003</v>
      </c>
      <c r="G28" s="339"/>
      <c r="H28" s="327"/>
      <c r="I28" s="96"/>
      <c r="M28" s="290"/>
    </row>
    <row r="29" spans="1:13" ht="15.75" x14ac:dyDescent="0.25">
      <c r="A29" s="284" t="s">
        <v>168</v>
      </c>
      <c r="B29" s="338">
        <f t="shared" si="4"/>
        <v>1.0740000000000001</v>
      </c>
      <c r="C29" s="339">
        <f>IF('R&amp;R Generic Detailed Budget'!$S$9="N",B29,IF($D$24&lt;=$H$4,(+VLOOKUP($A29,$A$6:$H$13,C$25+2,FALSE)*(VLOOKUP($A29,$A$16:$I$23,9,FALSE)^(MAX(0,$D$24-$H$4)))),H9))</f>
        <v>1.0940000000000001</v>
      </c>
      <c r="D29" s="339">
        <f>IF('R&amp;R Generic Detailed Budget'!$S$9="N",B29,IF($E$24&lt;=$H$4,(+VLOOKUP($A29,$A$6:$H$13,D$25+2,FALSE)*(VLOOKUP($A29,$A$16:$I$23,9,FALSE)^(MAX(0,$E$24-$H$4)))),H9))</f>
        <v>1.0489999999999999</v>
      </c>
      <c r="E29" s="339">
        <f>IF('R&amp;R Generic Detailed Budget'!$S$9="N",C29,IF($E$24&lt;=$H$4,(+VLOOKUP($A29,$A$6:$H$13,E$25+2,FALSE)*(VLOOKUP($A29,$A$16:$I$23,9,FALSE)^(MAX(0,$E$24-$H$4)))),H9))</f>
        <v>1.0640000000000001</v>
      </c>
      <c r="F29" s="339">
        <f>IF('R&amp;R Generic Detailed Budget'!$S$9="N",D29,IF($E$24&lt;=$H$4,(+VLOOKUP($A29,$A$6:$H$13,F$25+2,FALSE)*(VLOOKUP($A29,$A$16:$I$23,9,FALSE)^(MAX(0,$E$24-$H$4)))),H9))</f>
        <v>1.0660000000000001</v>
      </c>
      <c r="G29" s="339"/>
      <c r="H29" s="327"/>
      <c r="I29" s="96"/>
      <c r="M29" s="290"/>
    </row>
    <row r="30" spans="1:13" ht="15.75" x14ac:dyDescent="0.25">
      <c r="A30" s="284" t="s">
        <v>169</v>
      </c>
      <c r="B30" s="338">
        <f t="shared" si="4"/>
        <v>0.91</v>
      </c>
      <c r="C30" s="339">
        <f>IF('R&amp;R Generic Detailed Budget'!$S$9="N",B30,IF($D$24&lt;=$H$4,(+VLOOKUP($A30,$A$6:$H$13,C$25+2,FALSE)*(VLOOKUP($A30,$A$16:$I$23,9,FALSE)^(MAX(0,$D$24-$H$4)))),H10))</f>
        <v>0.90100000000000002</v>
      </c>
      <c r="D30" s="339">
        <f>IF('R&amp;R Generic Detailed Budget'!$S$9="N",B30,IF($E$24&lt;=$H$4,(+VLOOKUP($A30,$A$6:$H$13,D$25+2,FALSE)*(VLOOKUP($A30,$A$16:$I$23,9,FALSE)^(MAX(0,$E$24-$H$4)))),H10))</f>
        <v>0.89100000000000001</v>
      </c>
      <c r="E30" s="339">
        <f>IF('R&amp;R Generic Detailed Budget'!$S$9="N",C30,IF($E$24&lt;=$H$4,(+VLOOKUP($A30,$A$6:$H$13,E$25+2,FALSE)*(VLOOKUP($A30,$A$16:$I$23,9,FALSE)^(MAX(0,$E$24-$H$4)))),H10))</f>
        <v>0.89800000000000002</v>
      </c>
      <c r="F30" s="339">
        <f>IF('R&amp;R Generic Detailed Budget'!$S$9="N",D30,IF($E$24&lt;=$H$4,(+VLOOKUP($A30,$A$6:$H$13,F$25+2,FALSE)*(VLOOKUP($A30,$A$16:$I$23,9,FALSE)^(MAX(0,$E$24-$H$4)))),H10))</f>
        <v>0.88460000000000005</v>
      </c>
      <c r="G30" s="339"/>
      <c r="H30" s="96"/>
      <c r="I30" s="96"/>
      <c r="M30" s="290"/>
    </row>
    <row r="31" spans="1:13" ht="15.75" x14ac:dyDescent="0.25">
      <c r="A31" s="284" t="s">
        <v>170</v>
      </c>
      <c r="B31" s="338">
        <f t="shared" si="4"/>
        <v>0.80200000000000005</v>
      </c>
      <c r="C31" s="339">
        <f>IF('R&amp;R Generic Detailed Budget'!$S$9="N",B31,IF($D$24&lt;=$H$4,(+VLOOKUP($A31,$A$6:$H$13,C$25+2,FALSE)*(VLOOKUP($A31,$A$16:$I$23,9,FALSE)^(MAX(0,$D$24-$H$4)))),H11))</f>
        <v>0.81399999999999995</v>
      </c>
      <c r="D31" s="339">
        <f>IF('R&amp;R Generic Detailed Budget'!$S$9="N",B31,IF($E$24&lt;=$H$4,(+VLOOKUP($A31,$A$6:$H$13,D$25+2,FALSE)*(VLOOKUP($A31,$A$16:$I$23,9,FALSE)^(MAX(0,$E$24-$H$4)))),H11))</f>
        <v>0.79300000000000004</v>
      </c>
      <c r="E31" s="339">
        <f>IF('R&amp;R Generic Detailed Budget'!$S$9="N",C31,IF($E$24&lt;=$H$4,(+VLOOKUP($A31,$A$6:$H$13,E$25+2,FALSE)*(VLOOKUP($A31,$A$16:$I$23,9,FALSE)^(MAX(0,$E$24-$H$4)))),H11))</f>
        <v>0.79800000000000004</v>
      </c>
      <c r="F31" s="339">
        <f>IF('R&amp;R Generic Detailed Budget'!$S$9="N",D31,IF($E$24&lt;=$H$4,(+VLOOKUP($A31,$A$6:$H$13,F$25+2,FALSE)*(VLOOKUP($A31,$A$16:$I$23,9,FALSE)^(MAX(0,$E$24-$H$4)))),H11))</f>
        <v>0.80059999999999998</v>
      </c>
      <c r="G31" s="339"/>
      <c r="H31" s="96"/>
      <c r="I31" s="96"/>
      <c r="M31" s="290"/>
    </row>
    <row r="32" spans="1:13" ht="15.75" x14ac:dyDescent="0.25">
      <c r="A32" s="284" t="s">
        <v>196</v>
      </c>
      <c r="B32" s="338">
        <f t="shared" si="4"/>
        <v>0.32300000000000001</v>
      </c>
      <c r="C32" s="339">
        <f>IF('R&amp;R Generic Detailed Budget'!$S$9="N",B32,IF($D$24&lt;=$H$4,(+VLOOKUP($A32,$A$6:$H$13,C$25+2,FALSE)*(VLOOKUP($A32,$A$16:$I$23,9,FALSE)^(MAX(0,$D$24-$H$4)))),H12))</f>
        <v>0.218</v>
      </c>
      <c r="D32" s="339">
        <f>IF('R&amp;R Generic Detailed Budget'!$S$9="N",B32,IF($E$24&lt;=$H$4,(+VLOOKUP($A32,$A$6:$H$13,D$25+2,FALSE)*(VLOOKUP($A32,$A$16:$I$23,9,FALSE)^(MAX(0,$E$24-$H$4)))),H12))</f>
        <v>0.31</v>
      </c>
      <c r="E32" s="339">
        <f>IF('R&amp;R Generic Detailed Budget'!$S$9="N",C32,IF($E$24&lt;=$H$4,(+VLOOKUP($A32,$A$6:$H$13,E$25+2,FALSE)*(VLOOKUP($A32,$A$16:$I$23,9,FALSE)^(MAX(0,$E$24-$H$4)))),H12))</f>
        <v>0.313</v>
      </c>
      <c r="F32" s="339">
        <f>IF('R&amp;R Generic Detailed Budget'!$S$9="N",D32,IF($E$24&lt;=$H$4,(+VLOOKUP($A32,$A$6:$H$13,F$25+2,FALSE)*(VLOOKUP($A32,$A$16:$I$23,9,FALSE)^(MAX(0,$E$24-$H$4)))),H12))</f>
        <v>0.28500000000000003</v>
      </c>
      <c r="G32" s="339"/>
      <c r="H32" s="96"/>
      <c r="I32" s="96"/>
      <c r="M32" s="284"/>
    </row>
    <row r="33" spans="1:13" ht="15.75" x14ac:dyDescent="0.25">
      <c r="A33" s="284" t="s">
        <v>192</v>
      </c>
      <c r="B33" s="338">
        <f t="shared" si="4"/>
        <v>3.3000000000000002E-2</v>
      </c>
      <c r="C33" s="339">
        <f>IF('R&amp;R Generic Detailed Budget'!$S$9="N",B33,IF($D$24&lt;=$H$4,(+VLOOKUP($A33,$A$6:$H$13,C$25+2,FALSE)*(VLOOKUP($A33,$A$16:$I$23,9,FALSE)^(MAX(0,$D$24-$H$4)))),H13))</f>
        <v>3.6999999999999998E-2</v>
      </c>
      <c r="D33" s="339">
        <f>IF('R&amp;R Generic Detailed Budget'!$S$9="N",B33,IF($E$24&lt;=$H$4,(+VLOOKUP($A33,$A$6:$H$13,D$25+2,FALSE)*(VLOOKUP($A33,$A$16:$I$23,9,FALSE)^(MAX(0,$E$24-$H$4)))),H13))</f>
        <v>3.4000000000000002E-2</v>
      </c>
      <c r="E33" s="339">
        <f>IF('R&amp;R Generic Detailed Budget'!$S$9="N",C33,IF($E$24&lt;=$H$4,(+VLOOKUP($A33,$A$6:$H$13,E$25+2,FALSE)*(VLOOKUP($A33,$A$16:$I$23,9,FALSE)^(MAX(0,$E$24-$H$4)))),H13))</f>
        <v>3.4000000000000002E-2</v>
      </c>
      <c r="F33" s="339">
        <f>IF('R&amp;R Generic Detailed Budget'!$S$9="N",D33,IF($E$24&lt;=$H$4,(+VLOOKUP($A33,$A$6:$H$13,F$25+2,FALSE)*(VLOOKUP($A33,$A$16:$I$23,9,FALSE)^(MAX(0,$E$24-$H$4)))),H13))</f>
        <v>3.5200000000000002E-2</v>
      </c>
      <c r="G33" s="339"/>
      <c r="H33" s="328"/>
      <c r="I33" s="96"/>
      <c r="M33" s="284"/>
    </row>
    <row r="34" spans="1:13" ht="15.75" x14ac:dyDescent="0.25">
      <c r="A34" s="284"/>
      <c r="B34" s="338"/>
      <c r="C34" s="339"/>
      <c r="D34" s="339"/>
      <c r="E34" s="339"/>
      <c r="F34" s="339"/>
      <c r="G34" s="339"/>
      <c r="H34" s="328"/>
      <c r="I34" s="96"/>
      <c r="M34" s="284"/>
    </row>
    <row r="35" spans="1:13" ht="15.75" hidden="1" x14ac:dyDescent="0.25">
      <c r="A35" s="504" t="s">
        <v>393</v>
      </c>
      <c r="B35" s="338"/>
      <c r="C35" s="339"/>
      <c r="D35" s="339"/>
      <c r="E35" s="339"/>
      <c r="F35" s="339"/>
      <c r="G35" s="339"/>
      <c r="H35" s="328"/>
      <c r="I35" s="96"/>
      <c r="M35" s="284"/>
    </row>
    <row r="36" spans="1:13" ht="15.75" hidden="1" x14ac:dyDescent="0.25">
      <c r="A36" s="505" t="s">
        <v>394</v>
      </c>
      <c r="B36" s="338"/>
      <c r="C36" s="339"/>
      <c r="D36" s="339"/>
      <c r="E36" s="339"/>
      <c r="F36" s="339"/>
      <c r="G36" s="339"/>
      <c r="H36" s="328"/>
      <c r="I36" s="96"/>
      <c r="M36" s="284"/>
    </row>
    <row r="37" spans="1:13" ht="15.75" hidden="1" x14ac:dyDescent="0.25">
      <c r="A37" s="505" t="s">
        <v>395</v>
      </c>
      <c r="B37" s="338"/>
      <c r="C37" s="339"/>
      <c r="D37" s="339"/>
      <c r="E37" s="339"/>
      <c r="F37" s="339"/>
      <c r="G37" s="339"/>
      <c r="H37" s="328"/>
      <c r="I37" s="96"/>
      <c r="M37" s="284"/>
    </row>
    <row r="38" spans="1:13" ht="15.75" hidden="1" x14ac:dyDescent="0.25">
      <c r="A38" s="505"/>
      <c r="B38" s="338"/>
      <c r="C38" s="339"/>
      <c r="D38" s="339"/>
      <c r="E38" s="339"/>
      <c r="F38" s="339"/>
      <c r="G38" s="339"/>
      <c r="H38" s="328"/>
      <c r="I38" s="96"/>
      <c r="M38" s="284"/>
    </row>
    <row r="39" spans="1:13" ht="15" hidden="1" x14ac:dyDescent="0.2">
      <c r="A39" s="505" t="s">
        <v>396</v>
      </c>
      <c r="B39" s="284"/>
      <c r="C39" s="284"/>
      <c r="D39" s="290"/>
      <c r="E39" s="290"/>
      <c r="F39" s="277"/>
      <c r="G39" s="277"/>
      <c r="H39" s="277"/>
      <c r="I39" s="277"/>
      <c r="M39" s="284"/>
    </row>
    <row r="40" spans="1:13" ht="15" hidden="1" x14ac:dyDescent="0.2">
      <c r="A40" s="505"/>
      <c r="B40" s="284"/>
      <c r="C40" s="284"/>
      <c r="D40" s="290"/>
      <c r="E40" s="290"/>
      <c r="F40" s="277"/>
      <c r="G40" s="277"/>
      <c r="H40" s="277"/>
      <c r="I40" s="277"/>
      <c r="M40" s="284"/>
    </row>
    <row r="41" spans="1:13" hidden="1" x14ac:dyDescent="0.2">
      <c r="A41" s="331" t="s">
        <v>397</v>
      </c>
      <c r="B41" s="331"/>
      <c r="C41" s="284"/>
      <c r="D41" s="290"/>
      <c r="E41" s="290"/>
      <c r="F41" s="277"/>
      <c r="G41" s="277"/>
      <c r="H41" s="277"/>
      <c r="I41" s="277"/>
      <c r="M41" s="284"/>
    </row>
    <row r="42" spans="1:13" hidden="1" x14ac:dyDescent="0.2">
      <c r="A42" s="284" t="s">
        <v>209</v>
      </c>
      <c r="B42" s="284"/>
      <c r="C42" s="284"/>
      <c r="D42" s="290"/>
      <c r="E42" s="290"/>
      <c r="F42" s="277"/>
      <c r="G42" s="277"/>
      <c r="H42" s="328"/>
      <c r="I42" s="277"/>
      <c r="M42" s="284"/>
    </row>
    <row r="43" spans="1:13" hidden="1" x14ac:dyDescent="0.2">
      <c r="A43" s="284" t="s">
        <v>210</v>
      </c>
      <c r="B43" s="284"/>
      <c r="C43" s="284"/>
      <c r="D43" s="290"/>
      <c r="E43" s="290"/>
      <c r="F43" s="277"/>
      <c r="G43" s="277"/>
      <c r="H43" s="277"/>
      <c r="I43" s="277"/>
      <c r="M43" s="284"/>
    </row>
    <row r="44" spans="1:13" hidden="1" x14ac:dyDescent="0.2">
      <c r="A44" s="284"/>
      <c r="B44" s="284"/>
      <c r="C44" s="284"/>
      <c r="D44" s="290"/>
      <c r="E44" s="290"/>
      <c r="F44" s="277"/>
      <c r="G44" s="277"/>
      <c r="H44" s="277"/>
      <c r="I44" s="277"/>
      <c r="M44" s="284"/>
    </row>
    <row r="45" spans="1:13" ht="14.25" hidden="1" x14ac:dyDescent="0.2">
      <c r="A45" s="506" t="s">
        <v>398</v>
      </c>
      <c r="B45" s="506"/>
      <c r="C45" s="506"/>
      <c r="D45" s="506"/>
      <c r="E45" s="506"/>
      <c r="F45" s="277"/>
      <c r="G45" s="277"/>
      <c r="H45" s="277"/>
      <c r="I45" s="277"/>
      <c r="M45" s="284"/>
    </row>
    <row r="46" spans="1:13" hidden="1" x14ac:dyDescent="0.2">
      <c r="A46" s="331" t="s">
        <v>399</v>
      </c>
      <c r="B46" s="331"/>
      <c r="C46" s="284"/>
      <c r="D46" s="284"/>
      <c r="E46" s="507" t="s">
        <v>400</v>
      </c>
      <c r="F46" s="507"/>
      <c r="G46" s="277"/>
      <c r="H46" s="277"/>
      <c r="I46" s="277"/>
      <c r="M46" s="284"/>
    </row>
    <row r="47" spans="1:13" hidden="1" x14ac:dyDescent="0.2">
      <c r="A47" s="284" t="s">
        <v>216</v>
      </c>
      <c r="B47" s="284"/>
      <c r="C47" s="284"/>
      <c r="D47" s="284"/>
      <c r="E47" s="284"/>
      <c r="F47" s="284"/>
      <c r="G47" s="301"/>
      <c r="H47" s="301"/>
      <c r="I47" s="301"/>
      <c r="M47" s="284"/>
    </row>
    <row r="48" spans="1:13" hidden="1" x14ac:dyDescent="0.2">
      <c r="A48" s="284" t="s">
        <v>217</v>
      </c>
      <c r="B48" s="284"/>
      <c r="C48" s="284"/>
      <c r="D48" s="284"/>
      <c r="E48" s="284"/>
      <c r="F48" s="284"/>
      <c r="G48" s="301"/>
      <c r="H48" s="301"/>
      <c r="I48" s="301"/>
      <c r="M48" s="284"/>
    </row>
    <row r="49" spans="1:13" hidden="1" x14ac:dyDescent="0.2">
      <c r="A49" s="284" t="s">
        <v>218</v>
      </c>
      <c r="B49" s="284"/>
      <c r="C49" s="284"/>
      <c r="D49" s="284"/>
      <c r="E49" s="284"/>
      <c r="F49" s="284"/>
      <c r="G49" s="301"/>
      <c r="H49" s="301"/>
      <c r="I49" s="301"/>
      <c r="M49" s="284"/>
    </row>
    <row r="50" spans="1:13" hidden="1" x14ac:dyDescent="0.2">
      <c r="A50" s="284" t="s">
        <v>219</v>
      </c>
      <c r="B50" s="284"/>
      <c r="C50" s="284"/>
      <c r="D50" s="284"/>
      <c r="E50" s="284"/>
      <c r="F50" s="284"/>
      <c r="G50" s="301"/>
      <c r="H50" s="301"/>
      <c r="I50" s="301"/>
      <c r="M50" s="284"/>
    </row>
    <row r="51" spans="1:13" hidden="1" x14ac:dyDescent="0.2">
      <c r="A51" s="284"/>
      <c r="B51" s="325"/>
      <c r="C51" s="325"/>
      <c r="D51" s="325"/>
      <c r="E51" s="325"/>
      <c r="F51" s="325"/>
      <c r="G51" s="301"/>
      <c r="H51" s="301"/>
      <c r="I51" s="301"/>
      <c r="M51" s="284"/>
    </row>
    <row r="52" spans="1:13" hidden="1" x14ac:dyDescent="0.2">
      <c r="A52" s="284" t="s">
        <v>201</v>
      </c>
      <c r="B52" s="308"/>
      <c r="C52" s="308"/>
      <c r="D52" s="308"/>
      <c r="E52" s="308"/>
      <c r="F52" s="308"/>
      <c r="G52" s="301"/>
      <c r="H52" s="301"/>
      <c r="I52" s="301"/>
      <c r="M52" s="284"/>
    </row>
    <row r="53" spans="1:13" hidden="1" x14ac:dyDescent="0.2">
      <c r="A53" s="284" t="s">
        <v>211</v>
      </c>
      <c r="B53" s="308"/>
      <c r="C53" s="284"/>
      <c r="D53" s="284"/>
      <c r="E53" s="301"/>
      <c r="F53" s="301"/>
      <c r="G53" s="301"/>
      <c r="H53" s="301"/>
      <c r="I53" s="301"/>
      <c r="M53" s="284"/>
    </row>
    <row r="54" spans="1:13" hidden="1" x14ac:dyDescent="0.2">
      <c r="A54" s="284" t="s">
        <v>202</v>
      </c>
      <c r="B54" s="308"/>
      <c r="C54" s="284"/>
      <c r="D54" s="284"/>
      <c r="E54" s="301"/>
      <c r="F54" s="301"/>
      <c r="G54" s="301"/>
      <c r="H54" s="301"/>
      <c r="I54" s="301"/>
      <c r="M54" s="284"/>
    </row>
    <row r="55" spans="1:13" hidden="1" x14ac:dyDescent="0.2">
      <c r="A55" s="284" t="s">
        <v>203</v>
      </c>
      <c r="B55" s="308"/>
      <c r="C55" s="284"/>
      <c r="D55" s="284"/>
      <c r="E55" s="301"/>
      <c r="F55" s="301"/>
      <c r="G55" s="301"/>
      <c r="H55" s="301"/>
      <c r="I55" s="301"/>
      <c r="M55" s="284"/>
    </row>
    <row r="56" spans="1:13" hidden="1" x14ac:dyDescent="0.2">
      <c r="A56" s="284" t="s">
        <v>204</v>
      </c>
      <c r="B56" s="308"/>
      <c r="C56" s="284"/>
      <c r="D56" s="284"/>
      <c r="E56" s="301"/>
      <c r="F56" s="301"/>
      <c r="G56" s="301"/>
      <c r="H56" s="301"/>
      <c r="I56" s="301"/>
      <c r="M56" s="284"/>
    </row>
    <row r="57" spans="1:13" hidden="1" x14ac:dyDescent="0.2">
      <c r="A57" s="284" t="s">
        <v>205</v>
      </c>
      <c r="B57" s="308"/>
      <c r="C57" s="284"/>
      <c r="D57" s="284"/>
      <c r="E57" s="284"/>
      <c r="F57" s="277"/>
      <c r="G57" s="277"/>
      <c r="H57" s="277"/>
      <c r="I57" s="277"/>
      <c r="M57" s="284"/>
    </row>
    <row r="58" spans="1:13" hidden="1" x14ac:dyDescent="0.2">
      <c r="A58" s="284" t="s">
        <v>212</v>
      </c>
      <c r="B58" s="284"/>
      <c r="C58" s="284"/>
      <c r="D58" s="284"/>
      <c r="E58" s="284"/>
      <c r="F58" s="277"/>
      <c r="G58" s="277"/>
      <c r="H58" s="277"/>
      <c r="I58" s="277"/>
      <c r="M58" s="284"/>
    </row>
    <row r="59" spans="1:13" hidden="1" x14ac:dyDescent="0.2">
      <c r="A59" s="284" t="s">
        <v>206</v>
      </c>
      <c r="B59" s="284"/>
      <c r="C59" s="284"/>
      <c r="D59" s="284"/>
      <c r="E59" s="284"/>
      <c r="F59" s="277"/>
      <c r="G59" s="277"/>
      <c r="H59" s="277"/>
      <c r="I59" s="277"/>
      <c r="M59" s="284"/>
    </row>
    <row r="60" spans="1:13" hidden="1" x14ac:dyDescent="0.2">
      <c r="A60" s="284" t="s">
        <v>207</v>
      </c>
      <c r="B60" s="284"/>
      <c r="C60" s="284"/>
      <c r="D60" s="290"/>
      <c r="E60" s="290"/>
      <c r="F60" s="277"/>
      <c r="G60" s="277"/>
      <c r="H60" s="277"/>
      <c r="I60" s="277"/>
      <c r="M60" s="290"/>
    </row>
    <row r="61" spans="1:13" hidden="1" x14ac:dyDescent="0.2">
      <c r="A61" s="284" t="s">
        <v>208</v>
      </c>
      <c r="B61" s="284"/>
      <c r="C61" s="284"/>
      <c r="D61" s="290"/>
      <c r="E61" s="290"/>
      <c r="F61" s="277"/>
      <c r="G61" s="277"/>
      <c r="H61" s="277"/>
      <c r="I61" s="277"/>
      <c r="M61" s="290"/>
    </row>
    <row r="62" spans="1:13" hidden="1" x14ac:dyDescent="0.2">
      <c r="A62" s="284"/>
      <c r="B62" s="284"/>
      <c r="C62" s="284"/>
      <c r="D62" s="284"/>
      <c r="E62" s="284"/>
      <c r="F62" s="277"/>
      <c r="G62" s="277"/>
      <c r="H62" s="277"/>
      <c r="I62" s="277"/>
      <c r="M62" s="284"/>
    </row>
    <row r="63" spans="1:13" hidden="1" x14ac:dyDescent="0.2">
      <c r="A63" s="329" t="s">
        <v>220</v>
      </c>
      <c r="B63" s="329"/>
      <c r="C63" s="329"/>
      <c r="D63" s="329"/>
      <c r="E63" s="329"/>
      <c r="F63" s="330"/>
      <c r="G63" s="277"/>
      <c r="H63" s="277"/>
      <c r="I63" s="277"/>
      <c r="M63" s="284"/>
    </row>
    <row r="64" spans="1:13" hidden="1" x14ac:dyDescent="0.2">
      <c r="B64" s="284"/>
      <c r="C64" s="284"/>
      <c r="D64" s="284"/>
      <c r="E64" s="284"/>
      <c r="F64" s="277"/>
      <c r="G64" s="277"/>
      <c r="H64" s="277"/>
      <c r="I64" s="277"/>
      <c r="M64" s="284"/>
    </row>
    <row r="65" spans="1:13" hidden="1" x14ac:dyDescent="0.2">
      <c r="A65" s="329" t="s">
        <v>221</v>
      </c>
      <c r="B65" s="329"/>
      <c r="C65" s="329"/>
      <c r="D65" s="329"/>
      <c r="E65" s="329"/>
      <c r="F65" s="330"/>
      <c r="G65" s="277"/>
      <c r="H65" s="277"/>
      <c r="I65" s="277"/>
      <c r="M65" s="284"/>
    </row>
    <row r="66" spans="1:13" hidden="1" x14ac:dyDescent="0.2">
      <c r="A66" s="329" t="s">
        <v>213</v>
      </c>
      <c r="B66" s="329"/>
      <c r="C66" s="329"/>
      <c r="D66" s="329"/>
      <c r="E66" s="329"/>
      <c r="F66" s="330"/>
      <c r="G66" s="277"/>
      <c r="H66" s="277"/>
      <c r="I66" s="277"/>
      <c r="M66" s="284"/>
    </row>
    <row r="67" spans="1:13" hidden="1" x14ac:dyDescent="0.2">
      <c r="A67" s="329" t="s">
        <v>214</v>
      </c>
      <c r="B67" s="329"/>
      <c r="C67" s="329"/>
      <c r="D67" s="329"/>
      <c r="E67" s="329"/>
      <c r="F67" s="330"/>
      <c r="G67" s="277"/>
      <c r="H67" s="277"/>
      <c r="I67" s="277"/>
      <c r="M67" s="284"/>
    </row>
    <row r="68" spans="1:13" hidden="1" x14ac:dyDescent="0.2">
      <c r="A68" s="329" t="s">
        <v>215</v>
      </c>
      <c r="B68" s="329"/>
      <c r="C68" s="329"/>
      <c r="D68" s="329"/>
      <c r="E68" s="329"/>
      <c r="F68" s="330"/>
      <c r="G68" s="277"/>
      <c r="H68" s="277"/>
      <c r="I68" s="277"/>
      <c r="M68" s="284"/>
    </row>
    <row r="69" spans="1:13" x14ac:dyDescent="0.2">
      <c r="A69" s="284"/>
      <c r="B69" s="284"/>
      <c r="C69" s="284"/>
      <c r="D69" s="284"/>
      <c r="E69" s="284"/>
      <c r="F69" s="277"/>
      <c r="G69" s="277"/>
      <c r="H69" s="277"/>
      <c r="I69" s="277"/>
      <c r="M69" s="284"/>
    </row>
    <row r="70" spans="1:13" x14ac:dyDescent="0.2">
      <c r="A70" s="284"/>
      <c r="B70" s="284"/>
      <c r="C70" s="284"/>
      <c r="D70" s="284"/>
      <c r="E70" s="284"/>
      <c r="F70" s="277"/>
      <c r="G70" s="277"/>
      <c r="H70" s="277"/>
      <c r="I70" s="277"/>
      <c r="M70" s="284"/>
    </row>
    <row r="71" spans="1:13" x14ac:dyDescent="0.2">
      <c r="A71" s="284"/>
      <c r="B71" s="284"/>
      <c r="C71" s="284"/>
      <c r="D71" s="284"/>
      <c r="E71" s="284"/>
      <c r="F71" s="277"/>
      <c r="G71" s="277"/>
      <c r="H71" s="277"/>
      <c r="I71" s="277"/>
      <c r="M71" s="284"/>
    </row>
    <row r="72" spans="1:13" x14ac:dyDescent="0.2">
      <c r="A72" s="284"/>
      <c r="B72" s="284"/>
      <c r="C72" s="284"/>
      <c r="D72" s="284"/>
      <c r="E72" s="284"/>
      <c r="F72" s="277"/>
      <c r="G72" s="277"/>
      <c r="H72" s="277"/>
      <c r="I72" s="277"/>
      <c r="M72" s="284"/>
    </row>
    <row r="73" spans="1:13" x14ac:dyDescent="0.2">
      <c r="A73" s="284"/>
      <c r="B73" s="284"/>
      <c r="C73" s="284"/>
      <c r="D73" s="284"/>
      <c r="E73" s="284"/>
      <c r="F73" s="277"/>
      <c r="G73" s="277"/>
      <c r="H73" s="277"/>
      <c r="I73" s="277"/>
      <c r="J73" s="1"/>
      <c r="M73" s="284"/>
    </row>
    <row r="74" spans="1:13" x14ac:dyDescent="0.2">
      <c r="A74" s="284"/>
      <c r="B74" s="284"/>
      <c r="C74" s="284"/>
      <c r="D74" s="284"/>
      <c r="E74" s="284"/>
      <c r="F74" s="277"/>
      <c r="G74" s="277"/>
      <c r="H74" s="277"/>
      <c r="I74" s="277"/>
      <c r="M74" s="284"/>
    </row>
    <row r="75" spans="1:13" x14ac:dyDescent="0.2">
      <c r="A75" s="284" t="s">
        <v>25</v>
      </c>
      <c r="B75" s="284"/>
      <c r="C75" s="284"/>
      <c r="D75" s="284"/>
      <c r="E75" s="284"/>
      <c r="F75" s="277"/>
      <c r="G75" s="277"/>
      <c r="H75" s="277"/>
      <c r="I75" s="277"/>
      <c r="M75" s="284"/>
    </row>
    <row r="76" spans="1:13" x14ac:dyDescent="0.2">
      <c r="A76" s="284"/>
      <c r="B76" s="284"/>
      <c r="C76" s="284"/>
      <c r="D76" s="284"/>
      <c r="E76" s="284"/>
      <c r="F76" s="277"/>
      <c r="G76" s="277"/>
      <c r="H76" s="277"/>
      <c r="I76" s="277"/>
      <c r="M76" s="284"/>
    </row>
    <row r="77" spans="1:13" x14ac:dyDescent="0.2">
      <c r="A77" s="284"/>
      <c r="B77" s="284"/>
      <c r="C77" s="284"/>
      <c r="D77" s="284"/>
      <c r="E77" s="284"/>
      <c r="F77" s="277"/>
      <c r="G77" s="277"/>
      <c r="H77" s="277"/>
      <c r="I77" s="277"/>
      <c r="M77" s="284"/>
    </row>
    <row r="78" spans="1:13" x14ac:dyDescent="0.2">
      <c r="A78" s="284"/>
      <c r="B78" s="284"/>
      <c r="C78" s="284"/>
      <c r="D78" s="284"/>
      <c r="E78" s="284"/>
      <c r="F78" s="277"/>
      <c r="G78" s="277"/>
      <c r="H78" s="277"/>
      <c r="I78" s="277"/>
      <c r="M78" s="284"/>
    </row>
    <row r="79" spans="1:13" x14ac:dyDescent="0.2">
      <c r="A79" s="291"/>
      <c r="B79" s="284"/>
      <c r="C79" s="284"/>
      <c r="D79" s="284"/>
      <c r="E79" s="284"/>
      <c r="F79" s="1"/>
      <c r="G79" s="1"/>
      <c r="H79" s="1"/>
      <c r="I79" s="1"/>
    </row>
    <row r="80" spans="1:13" x14ac:dyDescent="0.2">
      <c r="A80" s="291"/>
      <c r="B80" s="284"/>
      <c r="C80" s="284"/>
      <c r="D80" s="284"/>
      <c r="E80" s="284"/>
      <c r="F80" s="1"/>
      <c r="G80" s="1"/>
      <c r="H80" s="1"/>
      <c r="I80" s="1"/>
    </row>
    <row r="81" spans="1:9" x14ac:dyDescent="0.2">
      <c r="A81" s="291"/>
      <c r="B81" s="284"/>
      <c r="C81" s="284"/>
      <c r="D81" s="284"/>
      <c r="E81" s="284"/>
      <c r="F81" s="1"/>
      <c r="G81" s="1"/>
      <c r="H81" s="1"/>
      <c r="I81" s="1"/>
    </row>
    <row r="82" spans="1:9" x14ac:dyDescent="0.2">
      <c r="A82" s="291"/>
      <c r="B82" s="284"/>
      <c r="C82" s="284"/>
      <c r="D82" s="284"/>
      <c r="E82" s="284"/>
      <c r="F82" s="1"/>
      <c r="G82" s="1"/>
      <c r="H82" s="1"/>
      <c r="I82" s="1"/>
    </row>
    <row r="83" spans="1:9" x14ac:dyDescent="0.2">
      <c r="A83" s="291"/>
      <c r="B83" s="284"/>
      <c r="C83" s="284"/>
      <c r="D83" s="284"/>
      <c r="E83" s="284"/>
      <c r="F83" s="1"/>
      <c r="G83" s="1"/>
      <c r="H83" s="1"/>
      <c r="I83" s="1"/>
    </row>
    <row r="84" spans="1:9" x14ac:dyDescent="0.2">
      <c r="A84" s="291"/>
      <c r="B84" s="284"/>
      <c r="C84" s="284"/>
      <c r="D84" s="284"/>
      <c r="E84" s="284"/>
      <c r="F84" s="1"/>
      <c r="G84" s="1"/>
      <c r="H84" s="1"/>
      <c r="I84" s="1"/>
    </row>
    <row r="85" spans="1:9" x14ac:dyDescent="0.2">
      <c r="A85" s="291"/>
      <c r="B85" s="284"/>
      <c r="C85" s="284"/>
      <c r="D85" s="284"/>
      <c r="E85" s="284"/>
      <c r="F85" s="1"/>
      <c r="G85" s="1"/>
      <c r="H85" s="1"/>
      <c r="I85" s="1"/>
    </row>
    <row r="86" spans="1:9" x14ac:dyDescent="0.2">
      <c r="A86" s="291"/>
      <c r="B86" s="284"/>
      <c r="C86" s="284"/>
      <c r="D86" s="284"/>
      <c r="E86" s="284"/>
      <c r="F86" s="284"/>
      <c r="G86" s="284"/>
      <c r="H86" s="284"/>
      <c r="I86" s="284"/>
    </row>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52" spans="7:7" x14ac:dyDescent="0.2">
      <c r="G152" t="s">
        <v>25</v>
      </c>
    </row>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sheetData>
  <sheetProtection algorithmName="SHA-512" hashValue="C3G8qs4vJkRudQ70jYrmK+1pzT8MoczAb98yXH3hWzSI79QLHqR4X6ZtxbmDuuWkCQ+/cV1KXLQ2HWhwSTuyJA==" saltValue="6TyXb5DJJ+WpxBtivuo7cA==" spinCount="100000" sheet="1"/>
  <mergeCells count="5">
    <mergeCell ref="A4:A5"/>
    <mergeCell ref="I4:I5"/>
    <mergeCell ref="A1:A2"/>
    <mergeCell ref="B3:C3"/>
    <mergeCell ref="D3:F3"/>
  </mergeCells>
  <phoneticPr fontId="39" type="noConversion"/>
  <hyperlinks>
    <hyperlink ref="B3" r:id="rId1" tooltip="https://brp.uoregon.edu/content/blended-ope" xr:uid="{AEBD12A9-178D-4011-908A-12369A32B309}"/>
    <hyperlink ref="D3" r:id="rId2" tooltip="https://brp.uoregon.edu/content/estimated-rates-future-years" xr:uid="{5E65B5B4-E330-49E8-9F9C-2F29C18B49AE}"/>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b59ef8a3-0922-4fdb-ba66-4b192f3356d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0B70AA676E18D4E9C43B3C32CB5A2E2" ma:contentTypeVersion="15" ma:contentTypeDescription="Create a new document." ma:contentTypeScope="" ma:versionID="a057ca4123d73690a3f5ef76fba788e4">
  <xsd:schema xmlns:xsd="http://www.w3.org/2001/XMLSchema" xmlns:xs="http://www.w3.org/2001/XMLSchema" xmlns:p="http://schemas.microsoft.com/office/2006/metadata/properties" xmlns:ns3="b59ef8a3-0922-4fdb-ba66-4b192f3356d5" xmlns:ns4="e3e3b900-7b38-4090-94aa-19af72dac9b1" targetNamespace="http://schemas.microsoft.com/office/2006/metadata/properties" ma:root="true" ma:fieldsID="87d69518fbb9d920d04ba31e69039f92" ns3:_="" ns4:_="">
    <xsd:import namespace="b59ef8a3-0922-4fdb-ba66-4b192f3356d5"/>
    <xsd:import namespace="e3e3b900-7b38-4090-94aa-19af72dac9b1"/>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9ef8a3-0922-4fdb-ba66-4b192f3356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6" nillable="true" ma:displayName="Length (seconds)"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e3b900-7b38-4090-94aa-19af72dac9b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5E88B5-B258-49B8-BED2-F803C093DF00}">
  <ds:schemaRefs>
    <ds:schemaRef ds:uri="http://schemas.microsoft.com/office/2006/metadata/properties"/>
    <ds:schemaRef ds:uri="http://schemas.microsoft.com/office/infopath/2007/PartnerControls"/>
    <ds:schemaRef ds:uri="b59ef8a3-0922-4fdb-ba66-4b192f3356d5"/>
  </ds:schemaRefs>
</ds:datastoreItem>
</file>

<file path=customXml/itemProps2.xml><?xml version="1.0" encoding="utf-8"?>
<ds:datastoreItem xmlns:ds="http://schemas.openxmlformats.org/officeDocument/2006/customXml" ds:itemID="{5C4AF520-5B65-4D2E-B02B-A7DE700F12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9ef8a3-0922-4fdb-ba66-4b192f3356d5"/>
    <ds:schemaRef ds:uri="e3e3b900-7b38-4090-94aa-19af72dac9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E2D024-A1C6-4AF2-819C-D0E865126D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R&amp;R Generic Detailed Budget</vt:lpstr>
      <vt:lpstr>SF424 Form Summary</vt:lpstr>
      <vt:lpstr>Personnel Data</vt:lpstr>
      <vt:lpstr>Named Ranges</vt:lpstr>
      <vt:lpstr>Person Month Conversion tool</vt:lpstr>
      <vt:lpstr>NIH Sal Cap Calculator</vt:lpstr>
      <vt:lpstr>F&amp;A History</vt:lpstr>
      <vt:lpstr>Eclass OPE Rates</vt:lpstr>
      <vt:lpstr>Employee_Class_List</vt:lpstr>
      <vt:lpstr>EmployeeClass</vt:lpstr>
      <vt:lpstr>GE_FeesInsTuition</vt:lpstr>
      <vt:lpstr>OPE_Rates</vt:lpstr>
      <vt:lpstr>Personnel_Data</vt:lpstr>
      <vt:lpstr>'R&amp;R Generic Detailed Budget'!Print_Area</vt:lpstr>
      <vt:lpstr>'R&amp;R Generic Detailed Budget'!Print_Titles</vt:lpstr>
      <vt:lpstr>SALARIES_WAGES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 year budget, 8/04</dc:title>
  <dc:creator>ORSP-1</dc:creator>
  <cp:lastModifiedBy>Jennifer Clark</cp:lastModifiedBy>
  <cp:lastPrinted>2016-12-22T21:42:43Z</cp:lastPrinted>
  <dcterms:created xsi:type="dcterms:W3CDTF">1999-06-18T21:53:54Z</dcterms:created>
  <dcterms:modified xsi:type="dcterms:W3CDTF">2026-09-14T16:48:06Z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0x01010000B70AA676E18D4E9C43B3C32CB5A2E2</vt:lpwstr>
  </property>
</Properties>
</file>