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L:\PRE-AWARD SPA FOLDER\QRC Updates and Generic Budget Templates\0 QRC Budget Templates 2026\09-14-2026\"/>
    </mc:Choice>
  </mc:AlternateContent>
  <xr:revisionPtr revIDLastSave="0" documentId="13_ncr:1_{2AA0704B-D427-4A51-90C2-4073F1E0157C}" xr6:coauthVersionLast="47" xr6:coauthVersionMax="47" xr10:uidLastSave="{00000000-0000-0000-0000-000000000000}"/>
  <bookViews>
    <workbookView xWindow="-23148" yWindow="-276" windowWidth="23256" windowHeight="12456" xr2:uid="{CBBFE195-53BA-4B87-8AF2-1CAF78B19043}"/>
  </bookViews>
  <sheets>
    <sheet name="SPS Internal Use Generic 5 yr" sheetId="5" r:id="rId1"/>
    <sheet name="To Sponsor-Summary-Exhibit D" sheetId="10" r:id="rId2"/>
    <sheet name="Person Month Conversion tool" sheetId="6" r:id="rId3"/>
    <sheet name="NIH Sal Cap Calculator" sheetId="7" r:id="rId4"/>
    <sheet name="F&amp;A History" sheetId="8" state="hidden" r:id="rId5"/>
    <sheet name="Eclass OPE Rates" sheetId="9" r:id="rId6"/>
  </sheets>
  <definedNames>
    <definedName name="_xlnm.Print_Area" localSheetId="0">'SPS Internal Use Generic 5 yr'!$A$3:$P$170</definedName>
    <definedName name="_xlnm.Print_Area" localSheetId="1">'To Sponsor-Summary-Exhibit D'!$A$2:$G$20</definedName>
    <definedName name="_xlnm.Print_Area">#REF!</definedName>
    <definedName name="_xlnm.Print_Titles" localSheetId="0">'SPS Internal Use Generic 5 yr'!$4:$8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7" i="5" l="1"/>
  <c r="V7" i="5" s="1"/>
  <c r="W7" i="5" s="1"/>
  <c r="X7" i="5" s="1"/>
  <c r="Y7" i="5" s="1"/>
  <c r="Z7" i="5" s="1"/>
  <c r="G7" i="9"/>
  <c r="G17" i="9" s="1"/>
  <c r="G8" i="9"/>
  <c r="H8" i="9" s="1"/>
  <c r="G9" i="9"/>
  <c r="G19" i="9" s="1"/>
  <c r="G10" i="9"/>
  <c r="H10" i="9" s="1"/>
  <c r="H20" i="9" s="1"/>
  <c r="G11" i="9"/>
  <c r="H11" i="9" s="1"/>
  <c r="H21" i="9" s="1"/>
  <c r="G12" i="9"/>
  <c r="G22" i="9" s="1"/>
  <c r="G13" i="9"/>
  <c r="G23" i="9" s="1"/>
  <c r="G6" i="9"/>
  <c r="H6" i="9" s="1"/>
  <c r="H16" i="9" s="1"/>
  <c r="U14" i="5"/>
  <c r="O13" i="5" s="1"/>
  <c r="A3" i="9"/>
  <c r="U15" i="5"/>
  <c r="K151" i="5"/>
  <c r="M149" i="5"/>
  <c r="O134" i="5"/>
  <c r="N134" i="5"/>
  <c r="N136" i="5" s="1"/>
  <c r="M134" i="5"/>
  <c r="L134" i="5"/>
  <c r="K134" i="5"/>
  <c r="O133" i="5"/>
  <c r="O136" i="5" s="1"/>
  <c r="N133" i="5"/>
  <c r="P133" i="5" s="1"/>
  <c r="M133" i="5"/>
  <c r="M136" i="5"/>
  <c r="L133" i="5"/>
  <c r="L136" i="5"/>
  <c r="K133" i="5"/>
  <c r="P131" i="5"/>
  <c r="P130" i="5"/>
  <c r="Q131" i="5"/>
  <c r="P128" i="5"/>
  <c r="P127" i="5"/>
  <c r="Q128" i="5"/>
  <c r="P125" i="5"/>
  <c r="P124" i="5"/>
  <c r="Q125" i="5" s="1"/>
  <c r="K121" i="5"/>
  <c r="K117" i="5"/>
  <c r="K112" i="5"/>
  <c r="K108" i="5"/>
  <c r="K99" i="5"/>
  <c r="K91" i="5"/>
  <c r="B10" i="10"/>
  <c r="K84" i="5"/>
  <c r="B9" i="10"/>
  <c r="K160" i="5"/>
  <c r="M97" i="5"/>
  <c r="L111" i="5"/>
  <c r="L112" i="5"/>
  <c r="L149" i="5"/>
  <c r="P149" i="5" s="1"/>
  <c r="U13" i="5"/>
  <c r="N37" i="5"/>
  <c r="B5" i="5"/>
  <c r="B24" i="9"/>
  <c r="B25" i="9" s="1"/>
  <c r="D3" i="7"/>
  <c r="C8" i="7" s="1"/>
  <c r="F3" i="7"/>
  <c r="L6" i="5"/>
  <c r="M6" i="5"/>
  <c r="D6" i="10"/>
  <c r="U4" i="5"/>
  <c r="U9" i="5"/>
  <c r="V9" i="5" s="1"/>
  <c r="W9" i="5" s="1"/>
  <c r="X9" i="5" s="1"/>
  <c r="Y9" i="5" s="1"/>
  <c r="Z9" i="5" s="1"/>
  <c r="F23" i="9"/>
  <c r="E23" i="9"/>
  <c r="D23" i="9"/>
  <c r="C23" i="9"/>
  <c r="F22" i="9"/>
  <c r="E22" i="9"/>
  <c r="D22" i="9"/>
  <c r="C22" i="9"/>
  <c r="F21" i="9"/>
  <c r="E21" i="9"/>
  <c r="D21" i="9"/>
  <c r="C21" i="9"/>
  <c r="F20" i="9"/>
  <c r="E20" i="9"/>
  <c r="D20" i="9"/>
  <c r="C20" i="9"/>
  <c r="F19" i="9"/>
  <c r="E19" i="9"/>
  <c r="D19" i="9"/>
  <c r="C19" i="9"/>
  <c r="F18" i="9"/>
  <c r="E18" i="9"/>
  <c r="D18" i="9"/>
  <c r="C18" i="9"/>
  <c r="F17" i="9"/>
  <c r="E17" i="9"/>
  <c r="D17" i="9"/>
  <c r="C17" i="9"/>
  <c r="F16" i="9"/>
  <c r="E16" i="9"/>
  <c r="D16" i="9"/>
  <c r="C16" i="9"/>
  <c r="C5" i="7"/>
  <c r="K13" i="5"/>
  <c r="C182" i="5"/>
  <c r="C181" i="5"/>
  <c r="C180" i="5"/>
  <c r="C179" i="5"/>
  <c r="C178" i="5"/>
  <c r="C177" i="5"/>
  <c r="B6" i="10"/>
  <c r="B5" i="10"/>
  <c r="C3" i="10"/>
  <c r="E167" i="5"/>
  <c r="B59" i="5"/>
  <c r="J59" i="5"/>
  <c r="C52" i="5"/>
  <c r="M52" i="5" s="1"/>
  <c r="C25" i="5"/>
  <c r="C66" i="5" s="1"/>
  <c r="C55" i="5"/>
  <c r="K55" i="5"/>
  <c r="C58" i="5"/>
  <c r="L58" i="5" s="1"/>
  <c r="C62" i="5"/>
  <c r="O62" i="5"/>
  <c r="C54" i="5"/>
  <c r="L54" i="5" s="1"/>
  <c r="B67" i="5"/>
  <c r="J67" i="5" s="1"/>
  <c r="B68" i="5"/>
  <c r="J68" i="5"/>
  <c r="B69" i="5"/>
  <c r="J69" i="5" s="1"/>
  <c r="B70" i="5"/>
  <c r="J70" i="5"/>
  <c r="B71" i="5"/>
  <c r="J71" i="5" s="1"/>
  <c r="B66" i="5"/>
  <c r="J66" i="5"/>
  <c r="C26" i="5"/>
  <c r="C67" i="5" s="1"/>
  <c r="C27" i="5"/>
  <c r="C68" i="5" s="1"/>
  <c r="C28" i="5"/>
  <c r="C69" i="5"/>
  <c r="C29" i="5"/>
  <c r="C70" i="5"/>
  <c r="N70" i="5" s="1"/>
  <c r="C30" i="5"/>
  <c r="C71" i="5"/>
  <c r="K71" i="5" s="1"/>
  <c r="C53" i="5"/>
  <c r="K53" i="5" s="1"/>
  <c r="C56" i="5"/>
  <c r="N56" i="5"/>
  <c r="C57" i="5"/>
  <c r="O57" i="5" s="1"/>
  <c r="C59" i="5"/>
  <c r="N59" i="5" s="1"/>
  <c r="O59" i="5"/>
  <c r="M59" i="5"/>
  <c r="C60" i="5"/>
  <c r="M60" i="5" s="1"/>
  <c r="C61" i="5"/>
  <c r="K61" i="5" s="1"/>
  <c r="L61" i="5"/>
  <c r="K26" i="5"/>
  <c r="K27" i="5"/>
  <c r="K28" i="5"/>
  <c r="K29" i="5"/>
  <c r="K30" i="5"/>
  <c r="K14" i="5"/>
  <c r="K15" i="5"/>
  <c r="K16" i="5"/>
  <c r="K48" i="5" s="1"/>
  <c r="K17" i="5"/>
  <c r="K18" i="5"/>
  <c r="K19" i="5"/>
  <c r="K20" i="5"/>
  <c r="K21" i="5"/>
  <c r="K22" i="5"/>
  <c r="K12" i="5"/>
  <c r="V12" i="5"/>
  <c r="W12" i="5" s="1"/>
  <c r="X12" i="5" s="1"/>
  <c r="Y12" i="5" s="1"/>
  <c r="Z12" i="5" s="1"/>
  <c r="B2" i="5"/>
  <c r="K44" i="5"/>
  <c r="K45" i="5"/>
  <c r="K38" i="5"/>
  <c r="P38" i="5" s="1"/>
  <c r="L38" i="5"/>
  <c r="K37" i="5"/>
  <c r="P37" i="5" s="1"/>
  <c r="Y4" i="5"/>
  <c r="X4" i="5"/>
  <c r="W4" i="5"/>
  <c r="V4" i="5"/>
  <c r="L20" i="6"/>
  <c r="L21" i="6"/>
  <c r="K20" i="6"/>
  <c r="K21" i="6"/>
  <c r="J20" i="6"/>
  <c r="J21" i="6" s="1"/>
  <c r="H21" i="6"/>
  <c r="E21" i="6"/>
  <c r="B21" i="6"/>
  <c r="G10" i="6"/>
  <c r="H10" i="6" s="1"/>
  <c r="L9" i="6" s="1"/>
  <c r="L10" i="6" s="1"/>
  <c r="D10" i="6"/>
  <c r="E10" i="6" s="1"/>
  <c r="K9" i="6" s="1"/>
  <c r="K10" i="6" s="1"/>
  <c r="A10" i="6"/>
  <c r="B10" i="6" s="1"/>
  <c r="J9" i="6" s="1"/>
  <c r="J10" i="6" s="1"/>
  <c r="B62" i="5"/>
  <c r="J62" i="5" s="1"/>
  <c r="B61" i="5"/>
  <c r="J61" i="5"/>
  <c r="B60" i="5"/>
  <c r="J60" i="5" s="1"/>
  <c r="B58" i="5"/>
  <c r="J58" i="5"/>
  <c r="B57" i="5"/>
  <c r="J57" i="5" s="1"/>
  <c r="B56" i="5"/>
  <c r="B55" i="5"/>
  <c r="B54" i="5"/>
  <c r="J54" i="5" s="1"/>
  <c r="B53" i="5"/>
  <c r="B52" i="5"/>
  <c r="J52" i="5"/>
  <c r="L5" i="5"/>
  <c r="L160" i="5" s="1"/>
  <c r="K25" i="5"/>
  <c r="M45" i="5"/>
  <c r="M61" i="5"/>
  <c r="O44" i="5"/>
  <c r="L83" i="5"/>
  <c r="P83" i="5" s="1"/>
  <c r="O89" i="5"/>
  <c r="P89" i="5" s="1"/>
  <c r="N95" i="5"/>
  <c r="N99" i="5" s="1"/>
  <c r="M104" i="5"/>
  <c r="M115" i="5"/>
  <c r="O149" i="5"/>
  <c r="M88" i="5"/>
  <c r="P88" i="5" s="1"/>
  <c r="L96" i="5"/>
  <c r="P96" i="5" s="1"/>
  <c r="O104" i="5"/>
  <c r="O108" i="5" s="1"/>
  <c r="M111" i="5"/>
  <c r="M112" i="5"/>
  <c r="O115" i="5"/>
  <c r="O117" i="5" s="1"/>
  <c r="M120" i="5"/>
  <c r="M121" i="5" s="1"/>
  <c r="L144" i="5"/>
  <c r="P144" i="5" s="1"/>
  <c r="L150" i="5"/>
  <c r="P150" i="5" s="1"/>
  <c r="O83" i="5"/>
  <c r="N88" i="5"/>
  <c r="N91" i="5" s="1"/>
  <c r="E10" i="10" s="1"/>
  <c r="N90" i="5"/>
  <c r="M96" i="5"/>
  <c r="L105" i="5"/>
  <c r="P105" i="5" s="1"/>
  <c r="L107" i="5"/>
  <c r="P107" i="5" s="1"/>
  <c r="L116" i="5"/>
  <c r="P116" i="5" s="1"/>
  <c r="M144" i="5"/>
  <c r="L82" i="5"/>
  <c r="O88" i="5"/>
  <c r="N96" i="5"/>
  <c r="N98" i="5"/>
  <c r="M107" i="5"/>
  <c r="O111" i="5"/>
  <c r="O112" i="5" s="1"/>
  <c r="P112" i="5" s="1"/>
  <c r="M116" i="5"/>
  <c r="M117" i="5" s="1"/>
  <c r="N144" i="5"/>
  <c r="M82" i="5"/>
  <c r="L87" i="5"/>
  <c r="O96" i="5"/>
  <c r="N105" i="5"/>
  <c r="N107" i="5"/>
  <c r="N108" i="5" s="1"/>
  <c r="N116" i="5"/>
  <c r="K136" i="5"/>
  <c r="O144" i="5"/>
  <c r="N82" i="5"/>
  <c r="M87" i="5"/>
  <c r="M89" i="5"/>
  <c r="L95" i="5"/>
  <c r="L99" i="5" s="1"/>
  <c r="P99" i="5" s="1"/>
  <c r="L97" i="5"/>
  <c r="P97" i="5" s="1"/>
  <c r="O107" i="5"/>
  <c r="O116" i="5"/>
  <c r="C173" i="5"/>
  <c r="N25" i="5"/>
  <c r="O14" i="5"/>
  <c r="M20" i="5"/>
  <c r="L17" i="5"/>
  <c r="O17" i="5"/>
  <c r="L30" i="5"/>
  <c r="O19" i="5"/>
  <c r="M19" i="5"/>
  <c r="N29" i="5"/>
  <c r="N26" i="5"/>
  <c r="L27" i="5"/>
  <c r="N61" i="5"/>
  <c r="L13" i="5"/>
  <c r="C175" i="5"/>
  <c r="L16" i="5"/>
  <c r="O61" i="5"/>
  <c r="K60" i="5"/>
  <c r="N45" i="5"/>
  <c r="C174" i="5"/>
  <c r="O38" i="5"/>
  <c r="O45" i="5"/>
  <c r="L44" i="5"/>
  <c r="P44" i="5" s="1"/>
  <c r="M37" i="5"/>
  <c r="N44" i="5"/>
  <c r="O37" i="5"/>
  <c r="M44" i="5"/>
  <c r="L45" i="5"/>
  <c r="L37" i="5"/>
  <c r="M38" i="5"/>
  <c r="N38" i="5"/>
  <c r="P45" i="5"/>
  <c r="K70" i="5"/>
  <c r="K62" i="5"/>
  <c r="L88" i="5"/>
  <c r="N89" i="5"/>
  <c r="L104" i="5"/>
  <c r="P104" i="5" s="1"/>
  <c r="L115" i="5"/>
  <c r="L117" i="5"/>
  <c r="M27" i="5"/>
  <c r="L89" i="5"/>
  <c r="O120" i="5"/>
  <c r="O121" i="5"/>
  <c r="O90" i="5"/>
  <c r="N120" i="5"/>
  <c r="N121" i="5"/>
  <c r="M98" i="5"/>
  <c r="L98" i="5"/>
  <c r="P98" i="5" s="1"/>
  <c r="N149" i="5"/>
  <c r="O87" i="5"/>
  <c r="O91" i="5" s="1"/>
  <c r="F10" i="10" s="1"/>
  <c r="L62" i="5"/>
  <c r="L90" i="5"/>
  <c r="P90" i="5" s="1"/>
  <c r="N104" i="5"/>
  <c r="N115" i="5"/>
  <c r="N117" i="5"/>
  <c r="L106" i="5"/>
  <c r="P106" i="5" s="1"/>
  <c r="O82" i="5"/>
  <c r="P82" i="5" s="1"/>
  <c r="O84" i="5"/>
  <c r="F9" i="10" s="1"/>
  <c r="M95" i="5"/>
  <c r="N106" i="5"/>
  <c r="L120" i="5"/>
  <c r="L121" i="5" s="1"/>
  <c r="N20" i="5"/>
  <c r="M90" i="5"/>
  <c r="M106" i="5"/>
  <c r="M83" i="5"/>
  <c r="O95" i="5"/>
  <c r="P95" i="5"/>
  <c r="M13" i="5"/>
  <c r="L12" i="5"/>
  <c r="O105" i="5"/>
  <c r="O150" i="5"/>
  <c r="O151" i="5" s="1"/>
  <c r="O98" i="5"/>
  <c r="N150" i="5"/>
  <c r="N151" i="5" s="1"/>
  <c r="M105" i="5"/>
  <c r="M108" i="5" s="1"/>
  <c r="M150" i="5"/>
  <c r="N111" i="5"/>
  <c r="N112" i="5"/>
  <c r="O106" i="5"/>
  <c r="N83" i="5"/>
  <c r="N84" i="5"/>
  <c r="E9" i="10"/>
  <c r="N97" i="5"/>
  <c r="N87" i="5"/>
  <c r="O97" i="5"/>
  <c r="U10" i="5"/>
  <c r="K139" i="5" s="1"/>
  <c r="M58" i="5"/>
  <c r="N57" i="5"/>
  <c r="K57" i="5"/>
  <c r="K58" i="5"/>
  <c r="N58" i="5"/>
  <c r="N55" i="5"/>
  <c r="M55" i="5"/>
  <c r="L55" i="5"/>
  <c r="L52" i="5"/>
  <c r="M56" i="5"/>
  <c r="L56" i="5"/>
  <c r="L53" i="5"/>
  <c r="M53" i="5"/>
  <c r="J55" i="5"/>
  <c r="J56" i="5"/>
  <c r="K56" i="5"/>
  <c r="J53" i="5"/>
  <c r="O55" i="5"/>
  <c r="O56" i="5"/>
  <c r="O53" i="5"/>
  <c r="P115" i="5"/>
  <c r="P87" i="5"/>
  <c r="M99" i="5"/>
  <c r="O69" i="5"/>
  <c r="L69" i="5"/>
  <c r="M69" i="5"/>
  <c r="K69" i="5"/>
  <c r="N69" i="5"/>
  <c r="M5" i="5"/>
  <c r="M160" i="5"/>
  <c r="D5" i="10"/>
  <c r="M84" i="5"/>
  <c r="D9" i="10" s="1"/>
  <c r="O70" i="5"/>
  <c r="U11" i="5"/>
  <c r="V11" i="5" s="1"/>
  <c r="W11" i="5" s="1"/>
  <c r="X11" i="5" s="1"/>
  <c r="Y11" i="5" s="1"/>
  <c r="Z11" i="5" s="1"/>
  <c r="M70" i="5"/>
  <c r="K59" i="5"/>
  <c r="L59" i="5"/>
  <c r="N62" i="5"/>
  <c r="M62" i="5"/>
  <c r="H7" i="9"/>
  <c r="H17" i="9"/>
  <c r="M151" i="5"/>
  <c r="O99" i="5"/>
  <c r="G21" i="9"/>
  <c r="D24" i="9"/>
  <c r="D25" i="9"/>
  <c r="N5" i="5"/>
  <c r="E5" i="10" s="1"/>
  <c r="C6" i="10"/>
  <c r="C24" i="9"/>
  <c r="U6" i="5"/>
  <c r="U8" i="5"/>
  <c r="V8" i="5" s="1"/>
  <c r="W8" i="5" s="1"/>
  <c r="X8" i="5" s="1"/>
  <c r="Y8" i="5" s="1"/>
  <c r="Z8" i="5" s="1"/>
  <c r="N160" i="5"/>
  <c r="C25" i="9"/>
  <c r="N6" i="5"/>
  <c r="E24" i="9" s="1"/>
  <c r="E25" i="9" s="1"/>
  <c r="H13" i="9" l="1"/>
  <c r="H23" i="9" s="1"/>
  <c r="G20" i="9"/>
  <c r="P121" i="5"/>
  <c r="K68" i="5"/>
  <c r="N68" i="5"/>
  <c r="M68" i="5"/>
  <c r="O68" i="5"/>
  <c r="L68" i="5"/>
  <c r="C11" i="7"/>
  <c r="C12" i="7" s="1"/>
  <c r="P117" i="5"/>
  <c r="M67" i="5"/>
  <c r="O67" i="5"/>
  <c r="N67" i="5"/>
  <c r="L67" i="5"/>
  <c r="K67" i="5"/>
  <c r="M66" i="5"/>
  <c r="N66" i="5"/>
  <c r="K66" i="5"/>
  <c r="O66" i="5"/>
  <c r="L66" i="5"/>
  <c r="P136" i="5"/>
  <c r="O52" i="5"/>
  <c r="O71" i="5"/>
  <c r="O6" i="5"/>
  <c r="K52" i="5"/>
  <c r="P52" i="5" s="1"/>
  <c r="L57" i="5"/>
  <c r="P57" i="5" s="1"/>
  <c r="O15" i="5"/>
  <c r="N16" i="5"/>
  <c r="O26" i="5"/>
  <c r="L14" i="5"/>
  <c r="O22" i="5"/>
  <c r="N18" i="5"/>
  <c r="L25" i="5"/>
  <c r="L29" i="5"/>
  <c r="L28" i="5"/>
  <c r="P28" i="5" s="1"/>
  <c r="P134" i="5"/>
  <c r="Q134" i="5" s="1"/>
  <c r="I23" i="9"/>
  <c r="E33" i="9" s="1"/>
  <c r="M54" i="5"/>
  <c r="Z4" i="5"/>
  <c r="M21" i="5"/>
  <c r="L33" i="5"/>
  <c r="O12" i="5"/>
  <c r="L22" i="5"/>
  <c r="L21" i="5"/>
  <c r="M26" i="5"/>
  <c r="M18" i="5"/>
  <c r="N17" i="5"/>
  <c r="L84" i="5"/>
  <c r="P111" i="5"/>
  <c r="L91" i="5"/>
  <c r="M71" i="5"/>
  <c r="O58" i="5"/>
  <c r="P58" i="5" s="1"/>
  <c r="M57" i="5"/>
  <c r="N19" i="5"/>
  <c r="O30" i="5"/>
  <c r="O28" i="5"/>
  <c r="M16" i="5"/>
  <c r="O18" i="5"/>
  <c r="N28" i="5"/>
  <c r="O21" i="5"/>
  <c r="N13" i="5"/>
  <c r="P13" i="5" s="1"/>
  <c r="N21" i="5"/>
  <c r="O29" i="5"/>
  <c r="N60" i="5"/>
  <c r="H9" i="9"/>
  <c r="H19" i="9" s="1"/>
  <c r="I19" i="9" s="1"/>
  <c r="E29" i="9" s="1"/>
  <c r="O20" i="5"/>
  <c r="L108" i="5"/>
  <c r="P108" i="5" s="1"/>
  <c r="N22" i="5"/>
  <c r="M12" i="5"/>
  <c r="I17" i="9"/>
  <c r="D27" i="9" s="1"/>
  <c r="L71" i="5"/>
  <c r="E6" i="10"/>
  <c r="O5" i="5"/>
  <c r="O54" i="5"/>
  <c r="N53" i="5"/>
  <c r="P53" i="5" s="1"/>
  <c r="N52" i="5"/>
  <c r="O25" i="5"/>
  <c r="M91" i="5"/>
  <c r="D10" i="10" s="1"/>
  <c r="O16" i="5"/>
  <c r="L60" i="5"/>
  <c r="N14" i="5"/>
  <c r="L19" i="5"/>
  <c r="P19" i="5" s="1"/>
  <c r="M17" i="5"/>
  <c r="P17" i="5" s="1"/>
  <c r="O60" i="5"/>
  <c r="P60" i="5" s="1"/>
  <c r="M14" i="5"/>
  <c r="L20" i="5"/>
  <c r="P20" i="5" s="1"/>
  <c r="C5" i="10"/>
  <c r="L26" i="5"/>
  <c r="N71" i="5"/>
  <c r="G18" i="9"/>
  <c r="K54" i="5"/>
  <c r="N54" i="5"/>
  <c r="M15" i="5"/>
  <c r="N30" i="5"/>
  <c r="L15" i="5"/>
  <c r="L48" i="5" s="1"/>
  <c r="L32" i="5"/>
  <c r="N15" i="5"/>
  <c r="M25" i="5"/>
  <c r="O27" i="5"/>
  <c r="M29" i="5"/>
  <c r="P29" i="5" s="1"/>
  <c r="M28" i="5"/>
  <c r="I20" i="9"/>
  <c r="C30" i="9" s="1"/>
  <c r="L151" i="5"/>
  <c r="P151" i="5" s="1"/>
  <c r="P120" i="5"/>
  <c r="N27" i="5"/>
  <c r="P27" i="5" s="1"/>
  <c r="L70" i="5"/>
  <c r="M22" i="5"/>
  <c r="N12" i="5"/>
  <c r="L18" i="5"/>
  <c r="P18" i="5" s="1"/>
  <c r="M30" i="5"/>
  <c r="P30" i="5" s="1"/>
  <c r="H12" i="9"/>
  <c r="H22" i="9" s="1"/>
  <c r="I22" i="9" s="1"/>
  <c r="D32" i="9" s="1"/>
  <c r="I21" i="9"/>
  <c r="D31" i="9" s="1"/>
  <c r="H18" i="9"/>
  <c r="G16" i="9"/>
  <c r="I16" i="9" s="1"/>
  <c r="E26" i="9" s="1"/>
  <c r="P59" i="5"/>
  <c r="B30" i="9"/>
  <c r="D26" i="9"/>
  <c r="P56" i="5"/>
  <c r="P69" i="5"/>
  <c r="P55" i="5"/>
  <c r="D30" i="9"/>
  <c r="D33" i="9"/>
  <c r="P62" i="5"/>
  <c r="P70" i="5"/>
  <c r="P61" i="5"/>
  <c r="V6" i="5"/>
  <c r="W6" i="5" s="1"/>
  <c r="X6" i="5" s="1"/>
  <c r="Y6" i="5" s="1"/>
  <c r="Z6" i="5" s="1"/>
  <c r="K140" i="5"/>
  <c r="K141" i="5" s="1"/>
  <c r="V10" i="5"/>
  <c r="L140" i="5" s="1"/>
  <c r="N76" i="5" l="1"/>
  <c r="M76" i="5"/>
  <c r="B33" i="9"/>
  <c r="J74" i="5" s="1"/>
  <c r="I18" i="9"/>
  <c r="C27" i="9"/>
  <c r="P67" i="5"/>
  <c r="P71" i="5"/>
  <c r="E31" i="9"/>
  <c r="B31" i="9"/>
  <c r="P54" i="5"/>
  <c r="E27" i="9"/>
  <c r="B27" i="9"/>
  <c r="P68" i="5"/>
  <c r="C31" i="9"/>
  <c r="C26" i="9"/>
  <c r="P66" i="5"/>
  <c r="B26" i="9"/>
  <c r="E30" i="9"/>
  <c r="D28" i="9"/>
  <c r="B28" i="9"/>
  <c r="C28" i="9"/>
  <c r="E28" i="9"/>
  <c r="P21" i="5"/>
  <c r="B29" i="9"/>
  <c r="P22" i="5"/>
  <c r="P15" i="5"/>
  <c r="E17" i="7"/>
  <c r="E20" i="7" s="1"/>
  <c r="F17" i="7"/>
  <c r="F20" i="7" s="1"/>
  <c r="H17" i="7"/>
  <c r="H20" i="7" s="1"/>
  <c r="C13" i="7"/>
  <c r="D17" i="7"/>
  <c r="D20" i="7" s="1"/>
  <c r="G17" i="7"/>
  <c r="G20" i="7" s="1"/>
  <c r="D29" i="9"/>
  <c r="O160" i="5"/>
  <c r="F5" i="10"/>
  <c r="P91" i="5"/>
  <c r="C10" i="10"/>
  <c r="G10" i="10" s="1"/>
  <c r="C33" i="9"/>
  <c r="L76" i="5" s="1"/>
  <c r="C29" i="9"/>
  <c r="M32" i="5"/>
  <c r="N32" i="5" s="1"/>
  <c r="O32" i="5" s="1"/>
  <c r="O48" i="5" s="1"/>
  <c r="P26" i="5"/>
  <c r="P16" i="5"/>
  <c r="M33" i="5"/>
  <c r="N33" i="5" s="1"/>
  <c r="O33" i="5" s="1"/>
  <c r="P25" i="5"/>
  <c r="C9" i="10"/>
  <c r="G9" i="10" s="1"/>
  <c r="P84" i="5"/>
  <c r="F6" i="10"/>
  <c r="F24" i="9"/>
  <c r="P14" i="5"/>
  <c r="P12" i="5"/>
  <c r="N73" i="5"/>
  <c r="E32" i="9"/>
  <c r="C32" i="9"/>
  <c r="B32" i="9"/>
  <c r="K146" i="5"/>
  <c r="K153" i="5"/>
  <c r="B11" i="10" s="1"/>
  <c r="W10" i="5"/>
  <c r="L139" i="5"/>
  <c r="L141" i="5" s="1"/>
  <c r="K76" i="5" l="1"/>
  <c r="K77" i="5" s="1"/>
  <c r="K79" i="5" s="1"/>
  <c r="B8" i="10" s="1"/>
  <c r="K74" i="5"/>
  <c r="K73" i="5"/>
  <c r="J76" i="5"/>
  <c r="J73" i="5"/>
  <c r="L73" i="5"/>
  <c r="L74" i="5"/>
  <c r="M48" i="5"/>
  <c r="P48" i="5" s="1"/>
  <c r="P33" i="5"/>
  <c r="G18" i="7"/>
  <c r="G22" i="7" s="1"/>
  <c r="D18" i="7"/>
  <c r="D22" i="7" s="1"/>
  <c r="E18" i="7"/>
  <c r="E22" i="7" s="1"/>
  <c r="H18" i="7"/>
  <c r="H22" i="7" s="1"/>
  <c r="F18" i="7"/>
  <c r="F22" i="7" s="1"/>
  <c r="N48" i="5"/>
  <c r="M73" i="5"/>
  <c r="F25" i="9"/>
  <c r="F32" i="9" s="1"/>
  <c r="F33" i="9"/>
  <c r="F31" i="9"/>
  <c r="F28" i="9"/>
  <c r="F29" i="9"/>
  <c r="F26" i="9"/>
  <c r="F30" i="9"/>
  <c r="M74" i="5"/>
  <c r="N74" i="5"/>
  <c r="N77" i="5" s="1"/>
  <c r="N79" i="5" s="1"/>
  <c r="E8" i="10" s="1"/>
  <c r="P32" i="5"/>
  <c r="L146" i="5"/>
  <c r="L153" i="5"/>
  <c r="C11" i="10" s="1"/>
  <c r="X10" i="5"/>
  <c r="M140" i="5"/>
  <c r="M139" i="5"/>
  <c r="L77" i="5" l="1"/>
  <c r="L79" i="5" s="1"/>
  <c r="C8" i="10" s="1"/>
  <c r="O73" i="5"/>
  <c r="P73" i="5" s="1"/>
  <c r="O76" i="5"/>
  <c r="M77" i="5"/>
  <c r="M79" i="5" s="1"/>
  <c r="O74" i="5"/>
  <c r="P74" i="5" s="1"/>
  <c r="F27" i="9"/>
  <c r="K156" i="5"/>
  <c r="K158" i="5" s="1"/>
  <c r="M141" i="5"/>
  <c r="M153" i="5" s="1"/>
  <c r="M146" i="5"/>
  <c r="N139" i="5"/>
  <c r="N140" i="5"/>
  <c r="Y10" i="5"/>
  <c r="L156" i="5" l="1"/>
  <c r="L158" i="5" s="1"/>
  <c r="L164" i="5" s="1"/>
  <c r="O77" i="5"/>
  <c r="O79" i="5" s="1"/>
  <c r="F8" i="10" s="1"/>
  <c r="P76" i="5"/>
  <c r="D8" i="10"/>
  <c r="O139" i="5"/>
  <c r="P139" i="5" s="1"/>
  <c r="O140" i="5"/>
  <c r="P140" i="5" s="1"/>
  <c r="Z10" i="5"/>
  <c r="M156" i="5"/>
  <c r="M158" i="5" s="1"/>
  <c r="M167" i="5" s="1"/>
  <c r="D11" i="10"/>
  <c r="N141" i="5"/>
  <c r="K164" i="5"/>
  <c r="K167" i="5"/>
  <c r="L167" i="5" l="1"/>
  <c r="C12" i="10" s="1"/>
  <c r="C13" i="10" s="1"/>
  <c r="P79" i="5"/>
  <c r="G8" i="10"/>
  <c r="P77" i="5"/>
  <c r="N153" i="5"/>
  <c r="N146" i="5"/>
  <c r="M164" i="5"/>
  <c r="D12" i="10" s="1"/>
  <c r="D13" i="10" s="1"/>
  <c r="O141" i="5"/>
  <c r="B12" i="10"/>
  <c r="K169" i="5"/>
  <c r="L169" i="5" l="1"/>
  <c r="M169" i="5"/>
  <c r="O153" i="5"/>
  <c r="P141" i="5"/>
  <c r="O146" i="5"/>
  <c r="P146" i="5" s="1"/>
  <c r="N156" i="5"/>
  <c r="N158" i="5" s="1"/>
  <c r="E11" i="10"/>
  <c r="B13" i="10"/>
  <c r="N167" i="5" l="1"/>
  <c r="N164" i="5"/>
  <c r="P153" i="5"/>
  <c r="F11" i="10"/>
  <c r="G11" i="10" s="1"/>
  <c r="O156" i="5"/>
  <c r="O158" i="5" l="1"/>
  <c r="P156" i="5"/>
  <c r="N169" i="5"/>
  <c r="E12" i="10"/>
  <c r="E13" i="10" s="1"/>
  <c r="P158" i="5" l="1"/>
  <c r="O167" i="5"/>
  <c r="P167" i="5" s="1"/>
  <c r="O164" i="5"/>
  <c r="F12" i="10" l="1"/>
  <c r="O169" i="5"/>
  <c r="P169" i="5" s="1"/>
  <c r="P164" i="5"/>
  <c r="G12" i="10" l="1"/>
  <c r="F13" i="10"/>
  <c r="G13"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Glen Bennett</author>
    <author>lkemler</author>
  </authors>
  <commentList>
    <comment ref="C3" authorId="0" shapeId="0" xr:uid="{7C8FFACF-D92D-4D33-B5F0-E4C26A618469}">
      <text>
        <r>
          <rPr>
            <sz val="9"/>
            <color indexed="81"/>
            <rFont val="Tahoma"/>
            <family val="2"/>
          </rPr>
          <t xml:space="preserve">Enter the EPCS record number here.
</t>
        </r>
      </text>
    </comment>
    <comment ref="K5" authorId="0" shapeId="0" xr:uid="{E34D3466-F8E0-40D5-AA22-97A09F6BEE01}">
      <text>
        <r>
          <rPr>
            <b/>
            <sz val="9"/>
            <color indexed="81"/>
            <rFont val="Tahoma"/>
            <family val="2"/>
          </rPr>
          <t>Enter the Start Date of the project (The same Start Date should also be entered in the EPCS record).</t>
        </r>
      </text>
    </comment>
    <comment ref="C11" authorId="0" shapeId="0" xr:uid="{795401B0-3A32-491C-B7D5-8629E6E9C2DC}">
      <text>
        <r>
          <rPr>
            <b/>
            <sz val="9"/>
            <color indexed="81"/>
            <rFont val="Tahoma"/>
            <family val="2"/>
          </rPr>
          <t>Select Eclass type from drop down list below.</t>
        </r>
        <r>
          <rPr>
            <sz val="9"/>
            <color indexed="81"/>
            <rFont val="Tahoma"/>
            <family val="2"/>
          </rPr>
          <t xml:space="preserve">
</t>
        </r>
      </text>
    </comment>
    <comment ref="D11" authorId="1" shapeId="0" xr:uid="{9EB304E7-3124-4482-BF42-2F145488A3F2}">
      <text>
        <r>
          <rPr>
            <sz val="8"/>
            <color indexed="81"/>
            <rFont val="Tahoma"/>
            <family val="2"/>
          </rPr>
          <t>Input base salary here for AY 9-mo. and 12-mo. Appointments. Enter % in next column to automatically calculate salary expense.</t>
        </r>
      </text>
    </comment>
    <comment ref="E11" authorId="1" shapeId="0" xr:uid="{EF353717-797F-4CB7-94D7-FCCB7711533F}">
      <text>
        <r>
          <rPr>
            <sz val="8"/>
            <color indexed="81"/>
            <rFont val="Tahoma"/>
            <family val="2"/>
          </rPr>
          <t>Salary expense will  automatically calculate with % entered (as a decimal) here.</t>
        </r>
      </text>
    </comment>
    <comment ref="F11" authorId="1" shapeId="0" xr:uid="{C08F3BFE-B660-420B-BDCD-A30B95504709}">
      <text>
        <r>
          <rPr>
            <sz val="8"/>
            <color indexed="81"/>
            <rFont val="Tahoma"/>
            <family val="2"/>
          </rPr>
          <t>Salary expense will  automatically calculate with % entered (as a decimal) here.</t>
        </r>
      </text>
    </comment>
    <comment ref="G11" authorId="1" shapeId="0" xr:uid="{18EA15C9-BBA0-40A2-A1DB-E5840DFB123D}">
      <text>
        <r>
          <rPr>
            <sz val="8"/>
            <color indexed="81"/>
            <rFont val="Tahoma"/>
            <family val="2"/>
          </rPr>
          <t>Salary expense will  automatically calculate with % entered (as a decimal) here.</t>
        </r>
      </text>
    </comment>
    <comment ref="H11" authorId="1" shapeId="0" xr:uid="{FC9FC663-5188-41CC-A903-453CFA9F807D}">
      <text>
        <r>
          <rPr>
            <sz val="8"/>
            <color indexed="81"/>
            <rFont val="Tahoma"/>
            <family val="2"/>
          </rPr>
          <t>Salary expense will  automatically calculate with % entered (as a decimal) here.</t>
        </r>
      </text>
    </comment>
    <comment ref="I11" authorId="1" shapeId="0" xr:uid="{BB28702F-AA35-48CB-8ED2-97F1EB2F26DC}">
      <text>
        <r>
          <rPr>
            <sz val="8"/>
            <color indexed="81"/>
            <rFont val="Tahoma"/>
            <family val="2"/>
          </rPr>
          <t>Salary expense will  automatically calculate with % entered (as a decimal) here.</t>
        </r>
      </text>
    </comment>
    <comment ref="U11" authorId="0" shapeId="0" xr:uid="{A43E38AC-70C4-49E9-9305-4197CD21FB46}">
      <text>
        <r>
          <rPr>
            <sz val="9"/>
            <color indexed="81"/>
            <rFont val="Tahoma"/>
            <family val="2"/>
          </rPr>
          <t xml:space="preserve">Enter for out-of-state graduate trainees on training grants or fellowships (formula in tuition area of budget must also be changed)
</t>
        </r>
      </text>
    </comment>
    <comment ref="AE11" authorId="0" shapeId="0" xr:uid="{08A122F5-84BC-4A77-8B04-96FFC34F2FA6}">
      <text>
        <r>
          <rPr>
            <sz val="9"/>
            <color indexed="81"/>
            <rFont val="Tahoma"/>
            <family val="2"/>
          </rPr>
          <t xml:space="preserve">Enter for out-of-state graduate trainees on training grants or fellowships (formula in tuition area of budget must also be changed)
</t>
        </r>
      </text>
    </comment>
    <comment ref="U12" authorId="0" shapeId="0" xr:uid="{E0514AF2-E6DF-4469-B02A-4C8F558F45FF}">
      <text>
        <r>
          <rPr>
            <sz val="9"/>
            <color indexed="81"/>
            <rFont val="Tahoma"/>
            <family val="2"/>
          </rPr>
          <t xml:space="preserve">Enter Tuition Rate for UO College if applicable to application (formula in tuition area of budget must also be changed)
</t>
        </r>
      </text>
    </comment>
    <comment ref="AE12" authorId="0" shapeId="0" xr:uid="{E4CED705-326D-4740-B9D1-66CD4CB4AB3F}">
      <text>
        <r>
          <rPr>
            <sz val="9"/>
            <color indexed="81"/>
            <rFont val="Tahoma"/>
            <family val="2"/>
          </rPr>
          <t xml:space="preserve">Enter Tuition Rate for UO College if applicable to application (formula in tuition area of budget must also be changed)
</t>
        </r>
      </text>
    </comment>
    <comment ref="U13" authorId="0" shapeId="0" xr:uid="{56059086-97EF-417C-AA9B-822A5637BC8B}">
      <text>
        <r>
          <rPr>
            <sz val="9"/>
            <color indexed="81"/>
            <rFont val="Tahoma"/>
            <family val="2"/>
          </rPr>
          <t>If no COLA for all budget years, change this number to 1.0</t>
        </r>
        <r>
          <rPr>
            <sz val="9"/>
            <color indexed="81"/>
            <rFont val="Tahoma"/>
            <family val="2"/>
          </rPr>
          <t xml:space="preserve">
</t>
        </r>
      </text>
    </comment>
    <comment ref="U14" authorId="0" shapeId="0" xr:uid="{315808B8-8B44-490A-BAA5-6092A9A8F199}">
      <text>
        <r>
          <rPr>
            <sz val="9"/>
            <color indexed="81"/>
            <rFont val="Tahoma"/>
            <family val="2"/>
          </rPr>
          <t>If no COLA for all budget years,this number is 1.0</t>
        </r>
      </text>
    </comment>
    <comment ref="U15" authorId="0" shapeId="0" xr:uid="{75BE2451-10A5-428E-8765-272DD49433F4}">
      <text>
        <r>
          <rPr>
            <sz val="9"/>
            <color indexed="81"/>
            <rFont val="Tahoma"/>
            <family val="2"/>
          </rPr>
          <t>If no COLA for all budget years,this number is 1.0</t>
        </r>
      </text>
    </comment>
    <comment ref="C24" authorId="0" shapeId="0" xr:uid="{D3C76197-FC8A-4BA7-987B-09950934C6B2}">
      <text>
        <r>
          <rPr>
            <sz val="9"/>
            <color indexed="81"/>
            <rFont val="Tahoma"/>
            <family val="2"/>
          </rPr>
          <t xml:space="preserve">Enter only 9 for 9-mo. Appoinment.
</t>
        </r>
      </text>
    </comment>
    <comment ref="D24" authorId="1" shapeId="0" xr:uid="{8BF66A70-6085-486B-9F5F-ED74C2E34C40}">
      <text>
        <r>
          <rPr>
            <sz val="8"/>
            <color indexed="81"/>
            <rFont val="Tahoma"/>
            <family val="2"/>
          </rPr>
          <t>Use only for Faculty with 9-month appointments working on project in SU. Input SU base salary here (1/3 of AY salary). Enter % in next column to automatically calculate SU salary expense.</t>
        </r>
      </text>
    </comment>
    <comment ref="E24" authorId="1" shapeId="0" xr:uid="{9FEB175B-F243-4457-9740-69E9ECC36F91}">
      <text>
        <r>
          <rPr>
            <sz val="8"/>
            <color indexed="81"/>
            <rFont val="Tahoma"/>
            <family val="2"/>
          </rPr>
          <t>Salary expense will  automatically calculate with % in SU entered here (as a decimal, i.e, .3333 for one month SU).</t>
        </r>
      </text>
    </comment>
    <comment ref="F24" authorId="1" shapeId="0" xr:uid="{C9E492BD-66D2-4F6C-B5FC-8500BB956462}">
      <text>
        <r>
          <rPr>
            <sz val="8"/>
            <color indexed="81"/>
            <rFont val="Tahoma"/>
            <family val="2"/>
          </rPr>
          <t>Salary expense will  automatically calculate with % in SU entered here (as a decimal, i.e, .3333 for one month SU).</t>
        </r>
      </text>
    </comment>
    <comment ref="G24" authorId="1" shapeId="0" xr:uid="{7B1BC9C2-909A-4B40-8EC7-48AD8700B244}">
      <text>
        <r>
          <rPr>
            <sz val="8"/>
            <color indexed="81"/>
            <rFont val="Tahoma"/>
            <family val="2"/>
          </rPr>
          <t>Salary expense will  automatically calculate with % in SU entered here (as a decimal, i.e, .3333 for one month SU).</t>
        </r>
      </text>
    </comment>
    <comment ref="H24" authorId="1" shapeId="0" xr:uid="{2B290650-05F6-4CC0-8386-22ED242B5BDA}">
      <text>
        <r>
          <rPr>
            <sz val="8"/>
            <color indexed="81"/>
            <rFont val="Tahoma"/>
            <family val="2"/>
          </rPr>
          <t>Salary expense will  automatically calculate with % in SU entered here (as a decimal, i.e, .3333 for one month SU).</t>
        </r>
      </text>
    </comment>
    <comment ref="I24" authorId="1" shapeId="0" xr:uid="{FFF301C2-12DB-405D-98C8-447AD0F7F805}">
      <text>
        <r>
          <rPr>
            <sz val="8"/>
            <color indexed="81"/>
            <rFont val="Tahoma"/>
            <family val="2"/>
          </rPr>
          <t>Salary expense will  automatically calculate with % in SU entered here (as a decimal, i.e, .3333 for one month SU).</t>
        </r>
      </text>
    </comment>
    <comment ref="D36" authorId="1" shapeId="0" xr:uid="{0D053CF8-B591-4E9E-B90D-D1C1FB2A5D23}">
      <text>
        <r>
          <rPr>
            <sz val="8"/>
            <color indexed="81"/>
            <rFont val="Tahoma"/>
            <family val="2"/>
          </rPr>
          <t>In the cell below, enter the GTF’s 9 or 12 month base salary at the 1.0 FTE rate.</t>
        </r>
      </text>
    </comment>
    <comment ref="E36" authorId="1" shapeId="0" xr:uid="{9B52632F-0838-429D-A8B1-B08D1CA50D1B}">
      <text>
        <r>
          <rPr>
            <sz val="8"/>
            <color indexed="81"/>
            <rFont val="Tahoma"/>
            <family val="2"/>
          </rPr>
          <t xml:space="preserve">Salary expense will  automatically calculate with % entered below. </t>
        </r>
      </text>
    </comment>
    <comment ref="F36" authorId="1" shapeId="0" xr:uid="{55A9AEE7-D509-4A01-A7D7-FCE91D065220}">
      <text>
        <r>
          <rPr>
            <sz val="8"/>
            <color indexed="81"/>
            <rFont val="Tahoma"/>
            <family val="2"/>
          </rPr>
          <t xml:space="preserve">Salary expense will  automatically calculate with % entered below. </t>
        </r>
      </text>
    </comment>
    <comment ref="G36" authorId="1" shapeId="0" xr:uid="{E5C4BC50-F1E0-4406-8A17-953A62CDB230}">
      <text>
        <r>
          <rPr>
            <sz val="8"/>
            <color indexed="81"/>
            <rFont val="Tahoma"/>
            <family val="2"/>
          </rPr>
          <t xml:space="preserve">Salary expense will  automatically calculate with % entered below. </t>
        </r>
      </text>
    </comment>
    <comment ref="H36" authorId="1" shapeId="0" xr:uid="{EFFB6E55-F1AA-4267-A01E-4B486642E91F}">
      <text>
        <r>
          <rPr>
            <sz val="8"/>
            <color indexed="81"/>
            <rFont val="Tahoma"/>
            <family val="2"/>
          </rPr>
          <t xml:space="preserve">Salary expense will  automatically calculate with % entered below. </t>
        </r>
      </text>
    </comment>
    <comment ref="I36" authorId="1" shapeId="0" xr:uid="{952330F5-1BEC-428D-B496-A8F80466CEF3}">
      <text>
        <r>
          <rPr>
            <sz val="8"/>
            <color indexed="81"/>
            <rFont val="Tahoma"/>
            <family val="2"/>
          </rPr>
          <t xml:space="preserve">Salary expense will  automatically calculate with % entered below. </t>
        </r>
      </text>
    </comment>
    <comment ref="D37" authorId="1" shapeId="0" xr:uid="{72030D8A-5DF1-412E-BEE3-BFFD54083105}">
      <text>
        <r>
          <rPr>
            <sz val="8"/>
            <color indexed="81"/>
            <rFont val="Tahoma"/>
            <family val="2"/>
          </rPr>
          <t xml:space="preserve">Input ANNUAL salary for 1 GTF at 1 FTE. </t>
        </r>
      </text>
    </comment>
    <comment ref="E37" authorId="1" shapeId="0" xr:uid="{B382F4D2-9712-4920-8DEA-33B11E4C73F2}">
      <text>
        <r>
          <rPr>
            <sz val="8"/>
            <color indexed="81"/>
            <rFont val="Tahoma"/>
            <family val="2"/>
          </rPr>
          <t>No more than .49</t>
        </r>
      </text>
    </comment>
    <comment ref="F37" authorId="1" shapeId="0" xr:uid="{A47BAAF5-1ECF-4043-AAE1-73FECF4EFFF9}">
      <text>
        <r>
          <rPr>
            <sz val="8"/>
            <color indexed="81"/>
            <rFont val="Tahoma"/>
            <family val="2"/>
          </rPr>
          <t>No more than .49</t>
        </r>
      </text>
    </comment>
    <comment ref="G37" authorId="1" shapeId="0" xr:uid="{D52793B6-5C34-43D0-ABE9-D0F9B19F5FA8}">
      <text>
        <r>
          <rPr>
            <sz val="8"/>
            <color indexed="81"/>
            <rFont val="Tahoma"/>
            <family val="2"/>
          </rPr>
          <t>No more than .49</t>
        </r>
      </text>
    </comment>
    <comment ref="H37" authorId="1" shapeId="0" xr:uid="{4EE9A387-2657-4A20-8252-4F491F80B3CC}">
      <text>
        <r>
          <rPr>
            <sz val="8"/>
            <color indexed="81"/>
            <rFont val="Tahoma"/>
            <family val="2"/>
          </rPr>
          <t>No more than .49</t>
        </r>
      </text>
    </comment>
    <comment ref="I37" authorId="1" shapeId="0" xr:uid="{EB7BAE05-F761-41D0-9C29-CFBD4C3C3718}">
      <text>
        <r>
          <rPr>
            <sz val="8"/>
            <color indexed="81"/>
            <rFont val="Tahoma"/>
            <family val="2"/>
          </rPr>
          <t>No more than .49</t>
        </r>
      </text>
    </comment>
    <comment ref="E38" authorId="1" shapeId="0" xr:uid="{38433E96-2D57-4FE4-8E98-C5AA37ADECC1}">
      <text>
        <r>
          <rPr>
            <sz val="8"/>
            <color indexed="81"/>
            <rFont val="Tahoma"/>
            <family val="2"/>
          </rPr>
          <t>Only input FTE if summer effort is part of budget.  Otherwise, leave blank.</t>
        </r>
      </text>
    </comment>
    <comment ref="F38" authorId="1" shapeId="0" xr:uid="{7E2AF107-0E2D-4029-B456-F15529D07BF7}">
      <text>
        <r>
          <rPr>
            <sz val="8"/>
            <color indexed="81"/>
            <rFont val="Tahoma"/>
            <family val="2"/>
          </rPr>
          <t>Only input FTE if summer effort is part of budget.  Otherwise, leave blank.</t>
        </r>
      </text>
    </comment>
    <comment ref="G38" authorId="1" shapeId="0" xr:uid="{35E3A96D-569C-4ED7-B8A0-A98A09CB6A5F}">
      <text>
        <r>
          <rPr>
            <sz val="8"/>
            <color indexed="81"/>
            <rFont val="Tahoma"/>
            <family val="2"/>
          </rPr>
          <t>Only input FTE if summer effort is part of budget.  Otherwise, leave blank.</t>
        </r>
      </text>
    </comment>
    <comment ref="H38" authorId="1" shapeId="0" xr:uid="{A73611D1-05E7-4A83-85FD-49DD52070526}">
      <text>
        <r>
          <rPr>
            <sz val="8"/>
            <color indexed="81"/>
            <rFont val="Tahoma"/>
            <family val="2"/>
          </rPr>
          <t>Only input FTE if summer effort is part of budget.  Otherwise, leave blank.</t>
        </r>
      </text>
    </comment>
    <comment ref="I38" authorId="1" shapeId="0" xr:uid="{F4F22EEE-1CE0-428A-9672-034CAD953793}">
      <text>
        <r>
          <rPr>
            <sz val="8"/>
            <color indexed="81"/>
            <rFont val="Tahoma"/>
            <family val="2"/>
          </rPr>
          <t>Only input FTE if summer effort is part of budget.  Otherwise, leave blank.</t>
        </r>
      </text>
    </comment>
    <comment ref="E39" authorId="0" shapeId="0" xr:uid="{12EBD25D-15DB-4A63-B119-90A1FF7A9CDD}">
      <text>
        <r>
          <rPr>
            <sz val="9"/>
            <color indexed="81"/>
            <rFont val="Tahoma"/>
            <family val="2"/>
          </rPr>
          <t xml:space="preserve">Insert the number of AY terms.
</t>
        </r>
      </text>
    </comment>
    <comment ref="F39" authorId="0" shapeId="0" xr:uid="{B7C68A2C-C229-4B2E-8910-A4551B0D9A17}">
      <text>
        <r>
          <rPr>
            <sz val="9"/>
            <color indexed="81"/>
            <rFont val="Tahoma"/>
            <family val="2"/>
          </rPr>
          <t xml:space="preserve">Insert the number of AY terms.
</t>
        </r>
      </text>
    </comment>
    <comment ref="G39" authorId="0" shapeId="0" xr:uid="{9E2055A7-5795-4365-9094-CBB7FF166D62}">
      <text>
        <r>
          <rPr>
            <sz val="9"/>
            <color indexed="81"/>
            <rFont val="Tahoma"/>
            <family val="2"/>
          </rPr>
          <t xml:space="preserve">Insert the number of AY terms.
</t>
        </r>
      </text>
    </comment>
    <comment ref="H39" authorId="0" shapeId="0" xr:uid="{A303F207-BC4B-4C70-BB71-3B7D36E09D3E}">
      <text>
        <r>
          <rPr>
            <sz val="9"/>
            <color indexed="81"/>
            <rFont val="Tahoma"/>
            <family val="2"/>
          </rPr>
          <t xml:space="preserve">Insert the number of AY terms.
</t>
        </r>
      </text>
    </comment>
    <comment ref="I39" authorId="0" shapeId="0" xr:uid="{7A810946-7C49-4463-9659-437BEA80F622}">
      <text>
        <r>
          <rPr>
            <sz val="9"/>
            <color indexed="81"/>
            <rFont val="Tahoma"/>
            <family val="2"/>
          </rPr>
          <t xml:space="preserve">Insert the number of AY terms.
</t>
        </r>
      </text>
    </comment>
    <comment ref="E40" authorId="0" shapeId="0" xr:uid="{058C2868-99DC-40E4-883E-5056FB2DE694}">
      <text>
        <r>
          <rPr>
            <sz val="9"/>
            <color indexed="81"/>
            <rFont val="Tahoma"/>
            <family val="2"/>
          </rPr>
          <t xml:space="preserve">Insert number of Summer Terms
</t>
        </r>
      </text>
    </comment>
    <comment ref="F40" authorId="0" shapeId="0" xr:uid="{5FCD291B-75AD-4543-BC04-1BCF378A7E50}">
      <text>
        <r>
          <rPr>
            <sz val="9"/>
            <color indexed="81"/>
            <rFont val="Tahoma"/>
            <family val="2"/>
          </rPr>
          <t xml:space="preserve">Insert number of Summer Terms
</t>
        </r>
      </text>
    </comment>
    <comment ref="G40" authorId="0" shapeId="0" xr:uid="{0DEB63AD-4A91-4208-A18E-8B32F2C8491D}">
      <text>
        <r>
          <rPr>
            <sz val="9"/>
            <color indexed="81"/>
            <rFont val="Tahoma"/>
            <family val="2"/>
          </rPr>
          <t xml:space="preserve">Insert number of Summer Terms
</t>
        </r>
      </text>
    </comment>
    <comment ref="H40" authorId="0" shapeId="0" xr:uid="{7B833B30-D199-4D69-9EEA-384611C9DBF3}">
      <text>
        <r>
          <rPr>
            <sz val="9"/>
            <color indexed="81"/>
            <rFont val="Tahoma"/>
            <family val="2"/>
          </rPr>
          <t xml:space="preserve">Insert number of Summer Terms
</t>
        </r>
      </text>
    </comment>
    <comment ref="I40" authorId="0" shapeId="0" xr:uid="{34E98F0F-B31B-42E5-883B-04B1DF237C64}">
      <text>
        <r>
          <rPr>
            <sz val="9"/>
            <color indexed="81"/>
            <rFont val="Tahoma"/>
            <family val="2"/>
          </rPr>
          <t xml:space="preserve">Insert number of Summer Terms
</t>
        </r>
      </text>
    </comment>
    <comment ref="D43" authorId="1" shapeId="0" xr:uid="{1B534F75-039C-4B7C-9A47-BFE761018498}">
      <text>
        <r>
          <rPr>
            <sz val="8"/>
            <color indexed="81"/>
            <rFont val="Tahoma"/>
            <family val="2"/>
          </rPr>
          <t>In the cell below, enter the GTF’s 9 or 12 month base salary at the 1.0 FTE rate.</t>
        </r>
      </text>
    </comment>
    <comment ref="E43" authorId="1" shapeId="0" xr:uid="{EDD813AE-D1A6-4F08-BEC8-A8EA2D483D9A}">
      <text>
        <r>
          <rPr>
            <sz val="8"/>
            <color indexed="81"/>
            <rFont val="Tahoma"/>
            <family val="2"/>
          </rPr>
          <t xml:space="preserve">Salary expense will  automatically calculate with % entered below. </t>
        </r>
      </text>
    </comment>
    <comment ref="F43" authorId="1" shapeId="0" xr:uid="{20CA161F-5056-44EB-ADC6-80999FB351A4}">
      <text>
        <r>
          <rPr>
            <sz val="8"/>
            <color indexed="81"/>
            <rFont val="Tahoma"/>
            <family val="2"/>
          </rPr>
          <t xml:space="preserve">Salary expense will  automatically calculate with % entered below. </t>
        </r>
      </text>
    </comment>
    <comment ref="G43" authorId="1" shapeId="0" xr:uid="{67FE83A8-5AF2-4702-9BB6-659805C0ABAD}">
      <text>
        <r>
          <rPr>
            <sz val="8"/>
            <color indexed="81"/>
            <rFont val="Tahoma"/>
            <family val="2"/>
          </rPr>
          <t xml:space="preserve">Salary expense will  automatically calculate with % entered below. </t>
        </r>
      </text>
    </comment>
    <comment ref="H43" authorId="1" shapeId="0" xr:uid="{2986786C-48EF-424E-8560-B13C6A0E4BB6}">
      <text>
        <r>
          <rPr>
            <sz val="8"/>
            <color indexed="81"/>
            <rFont val="Tahoma"/>
            <family val="2"/>
          </rPr>
          <t xml:space="preserve">Salary expense will  automatically calculate with % entered below. </t>
        </r>
      </text>
    </comment>
    <comment ref="I43" authorId="1" shapeId="0" xr:uid="{79534086-A22E-4B6A-B12C-88E190920FBC}">
      <text>
        <r>
          <rPr>
            <sz val="8"/>
            <color indexed="81"/>
            <rFont val="Tahoma"/>
            <family val="2"/>
          </rPr>
          <t xml:space="preserve">Salary expense will  automatically calculate with % entered below. </t>
        </r>
      </text>
    </comment>
    <comment ref="D44" authorId="1" shapeId="0" xr:uid="{A5DFED07-AEFF-4CA4-BE4A-D326D4A24B4B}">
      <text>
        <r>
          <rPr>
            <sz val="8"/>
            <color indexed="81"/>
            <rFont val="Tahoma"/>
            <family val="2"/>
          </rPr>
          <t xml:space="preserve">Input ANNUAL salary for 1 GTF at 1 FTE. </t>
        </r>
      </text>
    </comment>
    <comment ref="E44" authorId="1" shapeId="0" xr:uid="{600E0E42-7BE5-4996-A91C-D7C6DD9C285E}">
      <text>
        <r>
          <rPr>
            <sz val="8"/>
            <color indexed="81"/>
            <rFont val="Tahoma"/>
            <family val="2"/>
          </rPr>
          <t>No more than .49</t>
        </r>
      </text>
    </comment>
    <comment ref="F44" authorId="1" shapeId="0" xr:uid="{4CD369C2-36FA-45D3-9C01-7A9CC8160F56}">
      <text>
        <r>
          <rPr>
            <sz val="8"/>
            <color indexed="81"/>
            <rFont val="Tahoma"/>
            <family val="2"/>
          </rPr>
          <t>No more than .49</t>
        </r>
      </text>
    </comment>
    <comment ref="G44" authorId="1" shapeId="0" xr:uid="{F06E05B1-3877-4688-BDC1-DED138E62BD7}">
      <text>
        <r>
          <rPr>
            <sz val="8"/>
            <color indexed="81"/>
            <rFont val="Tahoma"/>
            <family val="2"/>
          </rPr>
          <t>No more than .49</t>
        </r>
      </text>
    </comment>
    <comment ref="H44" authorId="1" shapeId="0" xr:uid="{9750CBFE-CEB2-42BF-9FC3-200E59CFB3BB}">
      <text>
        <r>
          <rPr>
            <sz val="8"/>
            <color indexed="81"/>
            <rFont val="Tahoma"/>
            <family val="2"/>
          </rPr>
          <t>No more than .49</t>
        </r>
      </text>
    </comment>
    <comment ref="I44" authorId="1" shapeId="0" xr:uid="{AF3C2223-2F4E-4E08-AEDF-EB4441DE5383}">
      <text>
        <r>
          <rPr>
            <sz val="8"/>
            <color indexed="81"/>
            <rFont val="Tahoma"/>
            <family val="2"/>
          </rPr>
          <t>No more than .49</t>
        </r>
      </text>
    </comment>
    <comment ref="E45" authorId="1" shapeId="0" xr:uid="{CC9D76A4-C878-45DD-94B7-3B737CC4CED3}">
      <text>
        <r>
          <rPr>
            <sz val="8"/>
            <color indexed="81"/>
            <rFont val="Tahoma"/>
            <family val="2"/>
          </rPr>
          <t>Only input FTE if summer effort is part of budget.  Otherwise, leave blank.</t>
        </r>
      </text>
    </comment>
    <comment ref="F45" authorId="1" shapeId="0" xr:uid="{7BBC385E-2F06-4566-86C8-4EDA88A7F400}">
      <text>
        <r>
          <rPr>
            <sz val="8"/>
            <color indexed="81"/>
            <rFont val="Tahoma"/>
            <family val="2"/>
          </rPr>
          <t>Only input FTE if summer effort is part of budget.  Otherwise, leave blank.</t>
        </r>
      </text>
    </comment>
    <comment ref="G45" authorId="1" shapeId="0" xr:uid="{CB86FB42-CE9B-438A-AFA0-FEF71370F5C5}">
      <text>
        <r>
          <rPr>
            <sz val="8"/>
            <color indexed="81"/>
            <rFont val="Tahoma"/>
            <family val="2"/>
          </rPr>
          <t>Only input FTE if summer effort is part of budget.  Otherwise, leave blank.</t>
        </r>
      </text>
    </comment>
    <comment ref="H45" authorId="1" shapeId="0" xr:uid="{1E36A85C-C8B8-441A-81A0-33EBCA3748AC}">
      <text>
        <r>
          <rPr>
            <sz val="8"/>
            <color indexed="81"/>
            <rFont val="Tahoma"/>
            <family val="2"/>
          </rPr>
          <t>Only input FTE if summer effort is part of budget.  Otherwise, leave blank.</t>
        </r>
      </text>
    </comment>
    <comment ref="I45" authorId="1" shapeId="0" xr:uid="{B81452D2-3BCB-4466-9DE4-3DDC5459565D}">
      <text>
        <r>
          <rPr>
            <sz val="8"/>
            <color indexed="81"/>
            <rFont val="Tahoma"/>
            <family val="2"/>
          </rPr>
          <t>Only input FTE if summer effort is part of budget.  Otherwise, leave blank.</t>
        </r>
      </text>
    </comment>
    <comment ref="E46" authorId="0" shapeId="0" xr:uid="{1966EF4C-055C-48CF-B3F7-1904D31ACF03}">
      <text>
        <r>
          <rPr>
            <sz val="9"/>
            <color indexed="81"/>
            <rFont val="Tahoma"/>
            <family val="2"/>
          </rPr>
          <t xml:space="preserve">Insert the number of AY terms.
</t>
        </r>
      </text>
    </comment>
    <comment ref="F46" authorId="0" shapeId="0" xr:uid="{F7357366-F263-47E6-B367-F8421FD8AB54}">
      <text>
        <r>
          <rPr>
            <sz val="9"/>
            <color indexed="81"/>
            <rFont val="Tahoma"/>
            <family val="2"/>
          </rPr>
          <t xml:space="preserve">Insert the number of AY terms.
</t>
        </r>
      </text>
    </comment>
    <comment ref="G46" authorId="0" shapeId="0" xr:uid="{58FB2FDD-2C80-4B2C-84B3-DA477CDE59FA}">
      <text>
        <r>
          <rPr>
            <sz val="9"/>
            <color indexed="81"/>
            <rFont val="Tahoma"/>
            <family val="2"/>
          </rPr>
          <t xml:space="preserve">Insert the number of AY terms.
</t>
        </r>
      </text>
    </comment>
    <comment ref="H46" authorId="0" shapeId="0" xr:uid="{9B98177A-068D-4A25-88C5-9736E43FB7D5}">
      <text>
        <r>
          <rPr>
            <sz val="9"/>
            <color indexed="81"/>
            <rFont val="Tahoma"/>
            <family val="2"/>
          </rPr>
          <t xml:space="preserve">Insert the number of AY terms.
</t>
        </r>
      </text>
    </comment>
    <comment ref="I46" authorId="0" shapeId="0" xr:uid="{0D39064D-4435-4828-B11B-EEF958165389}">
      <text>
        <r>
          <rPr>
            <sz val="9"/>
            <color indexed="81"/>
            <rFont val="Tahoma"/>
            <family val="2"/>
          </rPr>
          <t xml:space="preserve">Insert the number of AY terms.
</t>
        </r>
      </text>
    </comment>
    <comment ref="E47" authorId="0" shapeId="0" xr:uid="{FD019B74-3925-4F34-AA16-400518335A05}">
      <text>
        <r>
          <rPr>
            <sz val="9"/>
            <color indexed="81"/>
            <rFont val="Tahoma"/>
            <family val="2"/>
          </rPr>
          <t xml:space="preserve">Insert number of Summer Terms
</t>
        </r>
      </text>
    </comment>
    <comment ref="F47" authorId="0" shapeId="0" xr:uid="{8FE8DB8B-E14C-4FC6-930D-689399A5779D}">
      <text>
        <r>
          <rPr>
            <sz val="9"/>
            <color indexed="81"/>
            <rFont val="Tahoma"/>
            <family val="2"/>
          </rPr>
          <t xml:space="preserve">Insert number of Summer Terms
</t>
        </r>
      </text>
    </comment>
    <comment ref="G47" authorId="0" shapeId="0" xr:uid="{E71A8F6B-1F93-44C9-94D6-DCB43949CF08}">
      <text>
        <r>
          <rPr>
            <sz val="9"/>
            <color indexed="81"/>
            <rFont val="Tahoma"/>
            <family val="2"/>
          </rPr>
          <t xml:space="preserve">Insert number of Summer Terms
</t>
        </r>
      </text>
    </comment>
    <comment ref="H47" authorId="0" shapeId="0" xr:uid="{307BA0F6-79BC-4481-B364-3DAD3B525993}">
      <text>
        <r>
          <rPr>
            <sz val="9"/>
            <color indexed="81"/>
            <rFont val="Tahoma"/>
            <family val="2"/>
          </rPr>
          <t xml:space="preserve">Insert number of Summer Terms
</t>
        </r>
      </text>
    </comment>
    <comment ref="I47" authorId="0" shapeId="0" xr:uid="{32BF9B34-6385-4E99-A3A8-B9572FB29038}">
      <text>
        <r>
          <rPr>
            <sz val="9"/>
            <color indexed="81"/>
            <rFont val="Tahoma"/>
            <family val="2"/>
          </rPr>
          <t xml:space="preserve">Insert number of Summer Terms
</t>
        </r>
      </text>
    </comment>
    <comment ref="C52" authorId="1" shapeId="0" xr:uid="{D345115B-3D2C-43CE-9268-0F2403405A50}">
      <text>
        <r>
          <rPr>
            <b/>
            <sz val="8"/>
            <color indexed="81"/>
            <rFont val="Tahoma"/>
            <family val="2"/>
          </rPr>
          <t>Automatic calculation based on the employee Eclass OPE Rates tab of this Workbook.</t>
        </r>
        <r>
          <rPr>
            <sz val="8"/>
            <color indexed="81"/>
            <rFont val="Tahoma"/>
            <family val="2"/>
          </rPr>
          <t xml:space="preserve">
</t>
        </r>
      </text>
    </comment>
    <comment ref="C65" authorId="0" shapeId="0" xr:uid="{247E6DEE-B446-44D8-90F4-C379A06FB4AF}">
      <text>
        <r>
          <rPr>
            <sz val="9"/>
            <color indexed="81"/>
            <rFont val="Tahoma"/>
            <family val="2"/>
          </rPr>
          <t xml:space="preserve">Enter 9 for 9-mo. appointment or 12 for 12-mo appointment
</t>
        </r>
      </text>
    </comment>
    <comment ref="C73" authorId="0" shapeId="0" xr:uid="{2298A675-7694-4EA1-A9BE-7094BD1CC89E}">
      <text>
        <r>
          <rPr>
            <b/>
            <sz val="9"/>
            <color indexed="81"/>
            <rFont val="Tahoma"/>
            <family val="2"/>
          </rPr>
          <t>Automatic calculation based on the employee Eclass OPE Rates tab of this Workbook.</t>
        </r>
      </text>
    </comment>
    <comment ref="C74" authorId="0" shapeId="0" xr:uid="{91BDAD46-34F4-4D75-8E19-EBA64F10D5BB}">
      <text>
        <r>
          <rPr>
            <b/>
            <sz val="9"/>
            <color indexed="81"/>
            <rFont val="Tahoma"/>
            <family val="2"/>
          </rPr>
          <t>Automatic calculation based on the employee Eclass OPE Rates tab of this Workbook.</t>
        </r>
      </text>
    </comment>
    <comment ref="C76" authorId="0" shapeId="0" xr:uid="{4E692EBC-9CF7-4A51-96BC-3558A1A01F4F}">
      <text>
        <r>
          <rPr>
            <b/>
            <sz val="9"/>
            <color indexed="81"/>
            <rFont val="Tahoma"/>
            <family val="2"/>
          </rPr>
          <t>Automatic calculation based on the employee Eclass OPE Rates tab of this Workbook.</t>
        </r>
      </text>
    </comment>
    <comment ref="B227" authorId="0" shapeId="0" xr:uid="{4DAE73DB-2045-46BE-8D8F-6C3FE33837CA}">
      <text>
        <r>
          <rPr>
            <b/>
            <sz val="9"/>
            <color indexed="81"/>
            <rFont val="Tahoma"/>
            <family val="2"/>
          </rPr>
          <t>Leave blank if Federally Negotiated F&amp;A rate is used.</t>
        </r>
        <r>
          <rPr>
            <sz val="9"/>
            <color indexed="81"/>
            <rFont val="Tahoma"/>
            <family val="2"/>
          </rPr>
          <t xml:space="preserve">
</t>
        </r>
      </text>
    </comment>
    <comment ref="K227" authorId="0" shapeId="0" xr:uid="{916B676B-188B-4733-A369-277E059F256E}">
      <text>
        <r>
          <rPr>
            <b/>
            <sz val="9"/>
            <color indexed="81"/>
            <rFont val="Tahoma"/>
            <family val="2"/>
          </rPr>
          <t>Leave blank if Federally Negotiated F&amp;A rate is used.</t>
        </r>
      </text>
    </comment>
    <comment ref="L227" authorId="0" shapeId="0" xr:uid="{A9F03A29-F739-48DB-917E-E373570A1E6F}">
      <text>
        <r>
          <rPr>
            <b/>
            <sz val="9"/>
            <color indexed="81"/>
            <rFont val="Tahoma"/>
            <family val="2"/>
          </rPr>
          <t>Leave blank if Federally Negotiated F&amp;A rate is used.</t>
        </r>
        <r>
          <rPr>
            <sz val="9"/>
            <color indexed="81"/>
            <rFont val="Tahoma"/>
            <family val="2"/>
          </rPr>
          <t xml:space="preserve">
</t>
        </r>
      </text>
    </comment>
    <comment ref="M227" authorId="0" shapeId="0" xr:uid="{B024CC05-5846-404C-8ABB-2E5A9CB06607}">
      <text>
        <r>
          <rPr>
            <b/>
            <sz val="9"/>
            <color indexed="81"/>
            <rFont val="Tahoma"/>
            <family val="2"/>
          </rPr>
          <t>Leave blank if Federally Negotiated F&amp;A rate is used.</t>
        </r>
        <r>
          <rPr>
            <sz val="9"/>
            <color indexed="81"/>
            <rFont val="Tahoma"/>
            <family val="2"/>
          </rPr>
          <t xml:space="preserve">
</t>
        </r>
      </text>
    </comment>
    <comment ref="N227" authorId="0" shapeId="0" xr:uid="{CEAB88E0-2046-48DD-ACA5-6BC72AE59F14}">
      <text>
        <r>
          <rPr>
            <b/>
            <sz val="9"/>
            <color indexed="81"/>
            <rFont val="Tahoma"/>
            <family val="2"/>
          </rPr>
          <t>Leave blank if Federally Negotiated F&amp;A rate is used.</t>
        </r>
        <r>
          <rPr>
            <sz val="9"/>
            <color indexed="81"/>
            <rFont val="Tahoma"/>
            <family val="2"/>
          </rPr>
          <t xml:space="preserve">
</t>
        </r>
      </text>
    </comment>
    <comment ref="O227" authorId="0" shapeId="0" xr:uid="{94EA20D1-C7BB-46BF-B0D6-75989DA0F4F0}">
      <text>
        <r>
          <rPr>
            <b/>
            <sz val="9"/>
            <color indexed="81"/>
            <rFont val="Tahoma"/>
            <family val="2"/>
          </rPr>
          <t>Leave blank if Federally Negotiated F&amp;A rate is used.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Jarrod Routh</author>
  </authors>
  <commentList>
    <comment ref="A10" authorId="0" shapeId="0" xr:uid="{6C58F6BC-696C-4203-80A9-E27548A12E53}">
      <text>
        <r>
          <rPr>
            <b/>
            <sz val="8"/>
            <color indexed="81"/>
            <rFont val="Tahoma"/>
            <family val="2"/>
          </rPr>
          <t>Enter SU Effort as a decimal or fraction (not as percent) greater than 0 but equal to, or less than 1.0</t>
        </r>
      </text>
    </comment>
    <comment ref="D10" authorId="0" shapeId="0" xr:uid="{D4A504A9-3581-45F8-B87D-FE11A9F6BDBC}">
      <text>
        <r>
          <rPr>
            <b/>
            <sz val="8"/>
            <color indexed="81"/>
            <rFont val="Tahoma"/>
            <family val="2"/>
          </rPr>
          <t>Enter AY Effort as a decimal or fraction (not as percent) greater than 0 but equal to, or less than 1.0</t>
        </r>
      </text>
    </comment>
    <comment ref="G10" authorId="0" shapeId="0" xr:uid="{0D550D8C-05F3-410B-B54C-9FC4F3BB13DC}">
      <text>
        <r>
          <rPr>
            <b/>
            <sz val="8"/>
            <color indexed="81"/>
            <rFont val="Tahoma"/>
            <family val="2"/>
          </rPr>
          <t>Enter Cal. Effort as a decimal or fraction (not as percent) greater than 0 but equal to, or less than 1.0</t>
        </r>
      </text>
    </comment>
    <comment ref="A21" authorId="0" shapeId="0" xr:uid="{EA687763-DA34-4C60-A157-05D8193DA0B7}">
      <text>
        <r>
          <rPr>
            <b/>
            <sz val="8"/>
            <color indexed="81"/>
            <rFont val="Tahoma"/>
            <family val="2"/>
          </rPr>
          <t>Enter the Summer Person Month (PM) as a number between 0 and 3</t>
        </r>
      </text>
    </comment>
    <comment ref="D21" authorId="0" shapeId="0" xr:uid="{17C7F2C3-0989-4632-A7B3-0E4945E294B1}">
      <text>
        <r>
          <rPr>
            <b/>
            <sz val="8"/>
            <color indexed="81"/>
            <rFont val="Tahoma"/>
            <family val="2"/>
          </rPr>
          <t>Enter the AY Person Month (PM) as a number between 0 and 9</t>
        </r>
      </text>
    </comment>
    <comment ref="G21" authorId="0" shapeId="0" xr:uid="{A2E74620-6AFA-431E-8DA3-478ED77DDA29}">
      <text>
        <r>
          <rPr>
            <b/>
            <sz val="8"/>
            <color indexed="81"/>
            <rFont val="Tahoma"/>
            <family val="2"/>
          </rPr>
          <t>Enter the Cal. Person Month (PM) as a number between 0 and 12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Glen Bennett</author>
  </authors>
  <commentList>
    <comment ref="C3" authorId="0" shapeId="0" xr:uid="{674CDB76-BA0E-4EFA-8D7B-08F72EE834DF}">
      <text>
        <r>
          <rPr>
            <b/>
            <sz val="9"/>
            <color indexed="81"/>
            <rFont val="Tahoma"/>
            <family val="2"/>
          </rPr>
          <t>Enter the current NIH Salary CAP</t>
        </r>
        <r>
          <rPr>
            <sz val="9"/>
            <color indexed="81"/>
            <rFont val="Tahoma"/>
            <family val="2"/>
          </rPr>
          <t xml:space="preserve">
</t>
        </r>
      </text>
    </comment>
    <comment ref="C7" authorId="0" shapeId="0" xr:uid="{DE3324F0-0D11-4FAE-94A4-5E06A51E68D5}">
      <text>
        <r>
          <rPr>
            <b/>
            <sz val="9"/>
            <color indexed="81"/>
            <rFont val="Tahoma"/>
            <family val="2"/>
          </rPr>
          <t>Enter 9 or 12 for type of Appointment</t>
        </r>
        <r>
          <rPr>
            <sz val="9"/>
            <color indexed="81"/>
            <rFont val="Tahoma"/>
            <family val="2"/>
          </rPr>
          <t xml:space="preserve">
</t>
        </r>
      </text>
    </comment>
    <comment ref="C8" authorId="0" shapeId="0" xr:uid="{D8447E02-803D-421F-A681-A94175D8839C}">
      <text>
        <r>
          <rPr>
            <b/>
            <sz val="9"/>
            <color indexed="81"/>
            <rFont val="Tahoma"/>
            <family val="2"/>
          </rPr>
          <t>Enter the UO 9 or 12 month base from PWIVERI</t>
        </r>
        <r>
          <rPr>
            <sz val="9"/>
            <color indexed="81"/>
            <rFont val="Tahoma"/>
            <family val="2"/>
          </rPr>
          <t xml:space="preserve">
</t>
        </r>
      </text>
    </comment>
    <comment ref="D15" authorId="0" shapeId="0" xr:uid="{FDB9C1F2-4920-4FE5-9420-28B58081A26D}">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E15" authorId="0" shapeId="0" xr:uid="{53D6BB98-6645-4B87-B91B-572BE7DB6D6B}">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F15" authorId="0" shapeId="0" xr:uid="{176F6F41-87CD-4FF7-AF8A-D690B3C093AE}">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G15" authorId="0" shapeId="0" xr:uid="{099BDF2E-891C-4DD5-8301-AB858F39A781}">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 ref="H15" authorId="0" shapeId="0" xr:uid="{3BFD5D32-EFBA-4ECF-BAAC-43308D6ED58D}">
      <text>
        <r>
          <rPr>
            <b/>
            <sz val="9"/>
            <color indexed="81"/>
            <rFont val="Tahoma"/>
            <family val="2"/>
          </rPr>
          <t>Enter Total Committed Annualized Effort (as seen under the Key Personnel Tab of the EPCS record) for each Project Period (Direct plus Cost Share)</t>
        </r>
        <r>
          <rPr>
            <sz val="9"/>
            <color indexed="81"/>
            <rFont val="Tahoma"/>
            <family val="2"/>
          </rPr>
          <t xml:space="preserve">
</t>
        </r>
      </text>
    </comment>
  </commentList>
</comments>
</file>

<file path=xl/sharedStrings.xml><?xml version="1.0" encoding="utf-8"?>
<sst xmlns="http://schemas.openxmlformats.org/spreadsheetml/2006/main" count="476" uniqueCount="278">
  <si>
    <t>University of Oregon</t>
  </si>
  <si>
    <t>YEAR 1</t>
  </si>
  <si>
    <t>YEAR 2</t>
  </si>
  <si>
    <t>YEAR 3</t>
  </si>
  <si>
    <t>TOTAL</t>
  </si>
  <si>
    <t>Total Fringe Benefits</t>
  </si>
  <si>
    <t>TRAVEL</t>
  </si>
  <si>
    <t>Total Other</t>
  </si>
  <si>
    <t xml:space="preserve">PI DEPT:  </t>
  </si>
  <si>
    <t>Stipend</t>
  </si>
  <si>
    <t>Travel</t>
  </si>
  <si>
    <t>Subsistence</t>
  </si>
  <si>
    <t>Other</t>
  </si>
  <si>
    <t>Total Participant Support</t>
  </si>
  <si>
    <t>TOTAL PERSONNEL</t>
  </si>
  <si>
    <t>Tuition</t>
  </si>
  <si>
    <t>Domestic</t>
  </si>
  <si>
    <t>Foreign</t>
  </si>
  <si>
    <t>Total Equipment</t>
  </si>
  <si>
    <t>Total Travel</t>
  </si>
  <si>
    <t>Total Supplies</t>
  </si>
  <si>
    <t>[Other]</t>
  </si>
  <si>
    <t>&gt;25K</t>
  </si>
  <si>
    <t xml:space="preserve">Total Subcontracts </t>
  </si>
  <si>
    <t xml:space="preserve">Subcontract </t>
  </si>
  <si>
    <t>Totals</t>
  </si>
  <si>
    <t>FRINGE BENEFITS (OPE)</t>
  </si>
  <si>
    <t>In-state</t>
  </si>
  <si>
    <t xml:space="preserve"> </t>
  </si>
  <si>
    <t xml:space="preserve">EPCS# </t>
  </si>
  <si>
    <t>Benefits for AY 9-mo. and 12-mo. appts.</t>
  </si>
  <si>
    <t>Summer benefits for 9-mo. faculty</t>
  </si>
  <si>
    <t>YEAR 4</t>
  </si>
  <si>
    <t>YEAR 5</t>
  </si>
  <si>
    <t>UO PERSONNEL</t>
  </si>
  <si>
    <t>SALARIES/WAGES</t>
  </si>
  <si>
    <t>Summer salaries for 9-mo. appts.</t>
  </si>
  <si>
    <t xml:space="preserve">  for AY 9-mo. and 12-mo. appts.</t>
  </si>
  <si>
    <t>Yr 1</t>
  </si>
  <si>
    <t>Yr 2</t>
  </si>
  <si>
    <t>Yr 3</t>
  </si>
  <si>
    <t>Yr 4</t>
  </si>
  <si>
    <t>Yr 5</t>
  </si>
  <si>
    <t>BASE</t>
  </si>
  <si>
    <t>SALARY</t>
  </si>
  <si>
    <t>Regular Students</t>
  </si>
  <si>
    <t>%</t>
  </si>
  <si>
    <t>Total Salaries &amp; Wages</t>
  </si>
  <si>
    <t>Out-of-state</t>
  </si>
  <si>
    <t>Other UO</t>
  </si>
  <si>
    <t>&lt;=25K</t>
  </si>
  <si>
    <t>-leave blank-</t>
  </si>
  <si>
    <t>Include COLAs</t>
  </si>
  <si>
    <t>in this budget?</t>
  </si>
  <si>
    <t>Enter Y or N</t>
  </si>
  <si>
    <t>AY BASE</t>
  </si>
  <si>
    <t>Start</t>
  </si>
  <si>
    <t>End</t>
  </si>
  <si>
    <t>Person Month / Effort:  Conversion Tool</t>
  </si>
  <si>
    <r>
      <rPr>
        <b/>
        <sz val="10"/>
        <color indexed="8"/>
        <rFont val="Arial"/>
        <family val="2"/>
      </rPr>
      <t>Insert the Effort</t>
    </r>
    <r>
      <rPr>
        <sz val="10"/>
        <color indexed="8"/>
        <rFont val="Arial"/>
        <family val="2"/>
      </rPr>
      <t xml:space="preserve"> in the green cells below to convert to Person Months (PM)</t>
    </r>
  </si>
  <si>
    <t>Person Months for 3, 9, and 12 month terms will display simultaneously.</t>
  </si>
  <si>
    <t>3 month</t>
  </si>
  <si>
    <t>9 month</t>
  </si>
  <si>
    <t>12 month</t>
  </si>
  <si>
    <t>Summer Term</t>
  </si>
  <si>
    <t>Academic Year</t>
  </si>
  <si>
    <t>Calendar Year</t>
  </si>
  <si>
    <t>3-mo</t>
  </si>
  <si>
    <t>9-mo</t>
  </si>
  <si>
    <t>12-mo</t>
  </si>
  <si>
    <t>Effort</t>
  </si>
  <si>
    <t xml:space="preserve">         PM</t>
  </si>
  <si>
    <t xml:space="preserve">        PM</t>
  </si>
  <si>
    <t>Months per twelve month period</t>
  </si>
  <si>
    <t>Annual FTE (over twelve months)</t>
  </si>
  <si>
    <r>
      <rPr>
        <b/>
        <sz val="10"/>
        <color indexed="8"/>
        <rFont val="Arial"/>
        <family val="2"/>
      </rPr>
      <t>Insert the Person Months (PM)</t>
    </r>
    <r>
      <rPr>
        <sz val="10"/>
        <color indexed="8"/>
        <rFont val="Arial"/>
        <family val="2"/>
      </rPr>
      <t xml:space="preserve"> in the yellow cells below to convert to Effort</t>
    </r>
  </si>
  <si>
    <t>Effort for 3, 9, and 12 month terms will display simultaneously.</t>
  </si>
  <si>
    <t>PM</t>
  </si>
  <si>
    <t>TOTAL DIRECT COSTS (includes Total Subcontracts Costs)</t>
  </si>
  <si>
    <t>Total Academic Terms</t>
  </si>
  <si>
    <t>Total Summer Terms</t>
  </si>
  <si>
    <t>Personnel COLA</t>
  </si>
  <si>
    <t>Non-Personnel COLA</t>
  </si>
  <si>
    <t xml:space="preserve">    Academic Year Graduate Tuition</t>
  </si>
  <si>
    <t xml:space="preserve">    Summer Graduate Tuition</t>
  </si>
  <si>
    <t xml:space="preserve">    Rental Costs of off-site Facilities</t>
  </si>
  <si>
    <t>Out-of-state Tuition</t>
  </si>
  <si>
    <t>In-state Tuition</t>
  </si>
  <si>
    <t>AY</t>
  </si>
  <si>
    <t>Reference Year</t>
  </si>
  <si>
    <t>MODIFIED TOTAL DIRECT COSTS (MTDC)*</t>
  </si>
  <si>
    <t>- Enter Applicable F&amp;A Rate Below-</t>
  </si>
  <si>
    <t>TOTAL COSTS</t>
  </si>
  <si>
    <t>QRC</t>
  </si>
  <si>
    <r>
      <t xml:space="preserve">YEAR R&amp;R DETAILED BUDGET  </t>
    </r>
    <r>
      <rPr>
        <b/>
        <sz val="12"/>
        <color indexed="10"/>
        <rFont val="Times New Roman"/>
        <family val="1"/>
      </rPr>
      <t>(Always change cell A1 to equal the number of project years for this budget)</t>
    </r>
  </si>
  <si>
    <t>To use the NIH Salary CAP Calculator, complete steps 1, 2, 3, and 4 below</t>
  </si>
  <si>
    <t>Step #1</t>
  </si>
  <si>
    <t>Enter the current NIH Salary CAP</t>
  </si>
  <si>
    <t>Auto-calculation:</t>
  </si>
  <si>
    <t>Hourly rate per the current NIH Salary CAP</t>
  </si>
  <si>
    <t>Step #2</t>
  </si>
  <si>
    <t>Enter the type of UO Appointment, 9 or 12 month</t>
  </si>
  <si>
    <t>Step #3</t>
  </si>
  <si>
    <t>Enter the UO 9 or 12 month base from PWIVERI</t>
  </si>
  <si>
    <t>12-month UO personnel's Institutional Base Salary</t>
  </si>
  <si>
    <t>UO personnel's Hourly Rate</t>
  </si>
  <si>
    <t>Direct Cost %</t>
  </si>
  <si>
    <t>Cost Share %</t>
  </si>
  <si>
    <t>Year 1</t>
  </si>
  <si>
    <t>Year 2</t>
  </si>
  <si>
    <t>Year 3</t>
  </si>
  <si>
    <t>Year 4</t>
  </si>
  <si>
    <t>Year 5</t>
  </si>
  <si>
    <t>Step #4</t>
  </si>
  <si>
    <t>Enter Total Committed Effort for each Project Period (Direct plus Cost Share)</t>
  </si>
  <si>
    <t>Labor Distribution for direct-charged salary</t>
  </si>
  <si>
    <t>Labor Distribution for cost-shared salary</t>
  </si>
  <si>
    <t>Direct Charge: Maximum Salary Amount direct-charged to the project</t>
  </si>
  <si>
    <t>Cost Share: Salary Amount Cost-shared to the project</t>
  </si>
  <si>
    <t xml:space="preserve">Participant support costs means direct costs for items such as stipends or subsistence allowances, travel allowances, </t>
  </si>
  <si>
    <t xml:space="preserve">and registration fees paid to or on behalf of participants or trainees (but not employees) in connection with conferences, or </t>
  </si>
  <si>
    <t>training projects.</t>
  </si>
  <si>
    <t>2 CFR §200.68   Modified Total Direct Cost (MTDC).</t>
  </si>
  <si>
    <t xml:space="preserve">MTDC means all direct salaries and wages, applicable fringe benefits, materials and supplies, services, travel, and </t>
  </si>
  <si>
    <t xml:space="preserve">subawards and subcontracts up to the first $25,000 of each subaward or subcontract (regardless of the period of </t>
  </si>
  <si>
    <t xml:space="preserve">performance of the subawards and subcontracts under the award). MTDC excludes equipment, capital expenditures, charges </t>
  </si>
  <si>
    <t>for patient care, rental costs, tuition remission, scholarships and fellowships, participant support costs and the portion of each</t>
  </si>
  <si>
    <t xml:space="preserve">subaward and subcontract in excess of $25,000. Other items may only be excluded when necessary to avoid a serious </t>
  </si>
  <si>
    <t>inequity in the distribution of indirect costs, and with the approval of the cognizant agency for indirect costs.</t>
  </si>
  <si>
    <t>Work Study Students</t>
  </si>
  <si>
    <t xml:space="preserve">  Total F&amp;A Exempt Other</t>
  </si>
  <si>
    <t>Template revised</t>
  </si>
  <si>
    <t xml:space="preserve">Please reference this link for additional guidance:   </t>
  </si>
  <si>
    <t>Payroll COLA</t>
  </si>
  <si>
    <t>Non-Payroll COLA</t>
  </si>
  <si>
    <t>2 CFR §200.456   Participant Support costs:</t>
  </si>
  <si>
    <t>Participant support costs as defined in §200.75 Participant support costs are allowable with the prior approval of the Federal awarding agency.</t>
  </si>
  <si>
    <t>2 CFR §200.75   Participant support costs:</t>
  </si>
  <si>
    <t>Non Personnel COLA</t>
  </si>
  <si>
    <t>Other UO Tuition</t>
  </si>
  <si>
    <t>Increase/Yr</t>
  </si>
  <si>
    <t>Research: on campus</t>
  </si>
  <si>
    <t>Research: off campus</t>
  </si>
  <si>
    <t>Instruction: on campus</t>
  </si>
  <si>
    <t>Instruction: off campus</t>
  </si>
  <si>
    <t>Other Sponsored Activity: on campus</t>
  </si>
  <si>
    <t>Other Sponsored Activity: off campus</t>
  </si>
  <si>
    <t>Select Project Type</t>
  </si>
  <si>
    <t>Awarded</t>
  </si>
  <si>
    <t>Facilities/Administrative (Indirect Cost) Rate:</t>
  </si>
  <si>
    <t>Facilities/Administrative Costs (Indirect Costs) of MTDC</t>
  </si>
  <si>
    <t xml:space="preserve">Agency Limited F&amp;A or other Approved F&amp;A Rate: </t>
  </si>
  <si>
    <t xml:space="preserve">Eclass </t>
  </si>
  <si>
    <t>AY Fees</t>
  </si>
  <si>
    <t>SU Fees</t>
  </si>
  <si>
    <t>AY Ins</t>
  </si>
  <si>
    <t>SU Ins</t>
  </si>
  <si>
    <t>AY/term</t>
  </si>
  <si>
    <t>SU/Term</t>
  </si>
  <si>
    <t>SU/term</t>
  </si>
  <si>
    <t>Select Employee Class</t>
  </si>
  <si>
    <t xml:space="preserve">Employee class </t>
  </si>
  <si>
    <t>Description</t>
  </si>
  <si>
    <t>9 Month Faculty/Staff (SU)</t>
  </si>
  <si>
    <t>Classified - Service</t>
  </si>
  <si>
    <t>Classified - Clerical/Skilled</t>
  </si>
  <si>
    <t>Classified - Technical</t>
  </si>
  <si>
    <t>Rates</t>
  </si>
  <si>
    <t xml:space="preserve">Faculty/Staff A </t>
  </si>
  <si>
    <t xml:space="preserve">Faculty/Staff B </t>
  </si>
  <si>
    <t xml:space="preserve">Faculty/Staff C </t>
  </si>
  <si>
    <t>Classified Service</t>
  </si>
  <si>
    <t>Classified Skilled/Clerical</t>
  </si>
  <si>
    <t>Classified Technical</t>
  </si>
  <si>
    <t>Employee Class</t>
  </si>
  <si>
    <t>Budget Year</t>
  </si>
  <si>
    <t>Offset from Base Year</t>
  </si>
  <si>
    <t xml:space="preserve">    INDUSTRY AGREEMENT BUDGET TEMPLATE FOR INTERNAL PURPOSES ONLY</t>
  </si>
  <si>
    <t>Industry Partnership License Fee</t>
  </si>
  <si>
    <t>Exhibit:  D</t>
  </si>
  <si>
    <t>UO Internal Identification No.</t>
  </si>
  <si>
    <t>EPCS#</t>
  </si>
  <si>
    <t>TOTAL PROJECT COSTS</t>
  </si>
  <si>
    <t>No budget should be submitted to a sponsor at the proposal stage or at the contracts stage for a Fixed Price Contract, unless the sponsor requires a summary level budget.
If the sponsor requires a summary level budget, the summary level Fixed Price Contract Budget Template below should be sent to the sponsor only, not the R&amp;R detailed information (for UO Internal Use ONLY).</t>
  </si>
  <si>
    <t>Personnel Costs</t>
  </si>
  <si>
    <t>Other Costs</t>
  </si>
  <si>
    <t>University overhead/indirect</t>
  </si>
  <si>
    <t>GE Fees</t>
  </si>
  <si>
    <t>GE Ins</t>
  </si>
  <si>
    <t>GE COLA</t>
  </si>
  <si>
    <t>GE I and GE II (Full Time Tuition)</t>
  </si>
  <si>
    <t>GE Salaries</t>
  </si>
  <si>
    <t>GE  AY effort</t>
  </si>
  <si>
    <t>GE summer effort</t>
  </si>
  <si>
    <t>GE III (3 Credit Hours per Term)</t>
  </si>
  <si>
    <t>GE, OPE + insurance/fees</t>
  </si>
  <si>
    <t>Annual increase on GE Tuition</t>
  </si>
  <si>
    <t>Annual increase on GE AY Fees</t>
  </si>
  <si>
    <t>Annual increase on GE SU Fees</t>
  </si>
  <si>
    <t>Annual increase on GE Insurance</t>
  </si>
  <si>
    <t>12 Month Faculty, w/ appt. .5+ FTE &amp; Hrly</t>
  </si>
  <si>
    <t>The Faculty/Staff A Employee Class consists of all salaried staff employees, and faculty members that are on a twelve month schedule.  Most of these employees are all eligible for sick leave and vacation leave.</t>
  </si>
  <si>
    <t>The Faculty/Staff B Employee Class consists of faculty members that are on a nine month schedule that are sick leave eligible but not eligible for vacation leave, all Post Docs, and employees coded as Executives.</t>
  </si>
  <si>
    <t>The Classified Service Employee Class consists of hourly employees that are coded as service/maintenance such as groundskeepers, custodians, laborers, and food service workers.</t>
  </si>
  <si>
    <t>The Classified Skilled/Clerical Employee Class consists of hourly employees that are coded as skilled and clerical.</t>
  </si>
  <si>
    <t>The Classified Technical Employee Class consists of hourly employees that are coded as technical and professional.</t>
  </si>
  <si>
    <t>The Students Employee Class consists of graduate employees, fellows, and undergraduate student employees.</t>
  </si>
  <si>
    <t>9 Month Faculty (AY) .5+ FTE, Postdocs, Executives</t>
  </si>
  <si>
    <t>9 or 12 Month Faculty, w/ appt. &lt;.5 FTE</t>
  </si>
  <si>
    <t>Students</t>
  </si>
  <si>
    <t>Summer</t>
  </si>
  <si>
    <t>Temps</t>
  </si>
  <si>
    <t>The Faculty/Staff C Employee Class consists of all employees on summer term employment excluding students; and also includes faculty and staff on less than .5 FTE.</t>
  </si>
  <si>
    <t xml:space="preserve">The Temp Employee Class consists of University of Oregon officers/teachers/researchers, hourly faculty and hourly staff less than .5FTE, and temporary support staff employees. </t>
  </si>
  <si>
    <t>Fringe Benefits ("Other Payroll Expenses" (OPE)</t>
  </si>
  <si>
    <t>UO Office of Budget and Resources Planning -  Blended OPE</t>
  </si>
  <si>
    <t xml:space="preserve">The formula is updated in December of 2020 to included the number "12" in the "Offset from Base Year" formula, "MAX(0,MIN(12,F29-$B$4))" to account for the </t>
  </si>
  <si>
    <t>additional years added to the spreadsheet.</t>
  </si>
  <si>
    <t xml:space="preserve">Regardless of whether "Y" or "N" is selected  on the 'R&amp;R Generic Detailed Budget'! Tab in Cell R8, there is no Personnel COLA applied by the formula in Year 1. </t>
  </si>
  <si>
    <t xml:space="preserve">In years 2 through 5, if "N" is selected  on the 'R&amp;R Generic Detailed Budget'! Tab in Cell R8, there is no Personnel COLA applied by the formula in for the Project Year. </t>
  </si>
  <si>
    <t>In years 2 through 5, if "Y" is selected  on the 'R&amp;R Generic Detailed Budget'! Tab in Cell R8, the Personnel COLA applied by the formula in for the Project Year, except on the</t>
  </si>
  <si>
    <t>current spreadsheet, if the project year is beyond 2026, the 2026 fringe benefit rate will be applied. See continued explanation below.</t>
  </si>
  <si>
    <t xml:space="preserve">In December of 2020, the "IF" statement compares the 1st year of the project to year 2026. If less than 2026, the logic pulls the fringe benefit rate from the table for the appropriate </t>
  </si>
  <si>
    <t>first year, 2021 through 2026. If more  than  2026, the logic pulls the fringe benefit rate from the table for year 2026, and no increase in fringe benefit rates  is included.</t>
  </si>
  <si>
    <t>This logic is based on (1) The budgeting spreadsheet is updated at least once per year. There will likely be no proposals which utilize this logic extending the project period</t>
  </si>
  <si>
    <t xml:space="preserve">into year 2027 for at least twelve months from December, 2020. For example, for a five-year project period beginning January 1, 2022, the fringe benefit rates applied will be </t>
  </si>
  <si>
    <t xml:space="preserve">the currently estimated fringe benefit rates from year 2026, which are estimated based on the average percent increase in rates for the three previous years. Proposal budgets </t>
  </si>
  <si>
    <t>with beginning project periods of July 1, 2022 will predominantly not occur until November through December of 2021, to January, 2022. Budget and Resource Planning (BRP)</t>
  </si>
  <si>
    <t xml:space="preserve">will again update the posted fringe benefit rates at least once again in the next twelve months, since BRP submits fringe benefit rate proposals to DHHS annually around December </t>
  </si>
  <si>
    <t>of each year. Therefore, the aforementioned logic in this spreadsheet should be updated at least by December 31, 2021 which will update the spreadsheet to include the new</t>
  </si>
  <si>
    <t xml:space="preserve">Estimated Projections on the out years provided by UO Budget and Resource Planning in December of 2021. At this time, the 2026 fringe benefit rates will be posted on BRP's </t>
  </si>
  <si>
    <t>website and the logic of this spreadsheet can be updated to include estimated fringe benefits for 2027 based on the prior three years of fringe benefit rate increases.</t>
  </si>
  <si>
    <r>
      <rPr>
        <b/>
        <sz val="10"/>
        <color indexed="10"/>
        <rFont val="Times New Roman"/>
        <family val="1"/>
      </rPr>
      <t xml:space="preserve">Note: </t>
    </r>
    <r>
      <rPr>
        <b/>
        <sz val="10"/>
        <rFont val="Times New Roman"/>
        <family val="1"/>
      </rPr>
      <t>BRP may update the current year  (FY) fringe benefit rate, so that it is the same as the current year (FY) fringe benefit rate which appears on UO's F&amp;A rate agreement.</t>
    </r>
  </si>
  <si>
    <r>
      <rPr>
        <b/>
        <sz val="10"/>
        <color indexed="10"/>
        <rFont val="Times New Roman"/>
        <family val="1"/>
      </rPr>
      <t xml:space="preserve">Note: </t>
    </r>
    <r>
      <rPr>
        <b/>
        <sz val="10"/>
        <rFont val="Times New Roman"/>
        <family val="1"/>
      </rPr>
      <t>BRP updates Estimated Projections on the out year fringe benefit rates, which do not yet appear on UO's F&amp;A rate agreement at least once annually, usually in December</t>
    </r>
  </si>
  <si>
    <t>of each year, after each years Fringe Benefit Rate Proposal has been submitted to DHHS. BRP may occasionally update these rates more than once each year based on</t>
  </si>
  <si>
    <t>updated information BRP uses to calculate the Estimated Projections on the out year fringe benefit rates. When BRP updates these rates, and posts the updated rates on the</t>
  </si>
  <si>
    <t xml:space="preserve"> BRP website, the rates must then be updated on this spreadsheet.</t>
  </si>
  <si>
    <t>Y</t>
  </si>
  <si>
    <t>% FTE</t>
  </si>
  <si>
    <t>PI Name:</t>
  </si>
  <si>
    <t>[Total costs, Subrecipient Institution 1]</t>
  </si>
  <si>
    <t>[Total costs, Subrecipient Institution 2]</t>
  </si>
  <si>
    <t>[Total costs, Subrecipient Institution 3]</t>
  </si>
  <si>
    <t xml:space="preserve">https://research.uoregon.edu/apply/apply-external-funding/prepare/nih-salary-cap </t>
  </si>
  <si>
    <t>PARTICIPANT SUPPORT COSTS</t>
  </si>
  <si>
    <t>OTHER DIRECT COSTS</t>
  </si>
  <si>
    <t>1. MATERIALS AND SUPPLIES</t>
  </si>
  <si>
    <t>2. PUBLICATION COSTS/DOCUMENTATION/DISSEMINATION</t>
  </si>
  <si>
    <t>Total Publications</t>
  </si>
  <si>
    <t>3. CONSULTANT SERVICES</t>
  </si>
  <si>
    <t>Total Consultant Services</t>
  </si>
  <si>
    <t>4. COMPUTER SERVICES</t>
  </si>
  <si>
    <t>Total Computer Services</t>
  </si>
  <si>
    <t>5. SUBAWARDEES</t>
  </si>
  <si>
    <t xml:space="preserve"> 6.  OTHER - GRADUATE TUITION (F&amp;A Exempt)</t>
  </si>
  <si>
    <t>Total Tuition</t>
  </si>
  <si>
    <t xml:space="preserve"> 6.  OTHER - OFF-SITE FACILITY RENTAL (F&amp;A Exempt)</t>
  </si>
  <si>
    <t>6. OTHER</t>
  </si>
  <si>
    <t>Total Other Direct Costs</t>
  </si>
  <si>
    <t>Equipment</t>
  </si>
  <si>
    <t xml:space="preserve">Estimated Future Rates Budget and Resource Planning </t>
  </si>
  <si>
    <t>Blended OPE Link</t>
  </si>
  <si>
    <t>Estimated Future Rates</t>
  </si>
  <si>
    <t>Average Change in OPE Rates</t>
  </si>
  <si>
    <t>Change</t>
  </si>
  <si>
    <t>SPS Estimate</t>
  </si>
  <si>
    <t>1-1-25 Notes for SPS calculated OPE</t>
  </si>
  <si>
    <t>For SPS calculated OPE I used the average of the previous 5 years for columns G &amp; H.  I hopt that the 5-year average is a good solution.</t>
  </si>
  <si>
    <t xml:space="preserve">Before 1-1-25, the budget template used a two formulas which sometimes resulted in an error when the OPE rate decreased. </t>
  </si>
  <si>
    <t xml:space="preserve">I could not determine the purpose of the table A15-H23.  Since the formulas for B26-F33 do not work without the table,  I will keep it as part of the spreadsheet. </t>
  </si>
  <si>
    <r>
      <t xml:space="preserve">Logic for formula calculation in Row </t>
    </r>
    <r>
      <rPr>
        <b/>
        <strike/>
        <sz val="10"/>
        <color indexed="10"/>
        <rFont val="Times New Roman"/>
        <family val="1"/>
      </rPr>
      <t>30</t>
    </r>
    <r>
      <rPr>
        <b/>
        <sz val="10"/>
        <color indexed="10"/>
        <rFont val="Times New Roman"/>
        <family val="1"/>
      </rPr>
      <t>, 25 columns B through F.</t>
    </r>
  </si>
  <si>
    <t xml:space="preserve">The below two paragraphs are out of date but you may find useful for figuring out the formulas. </t>
  </si>
  <si>
    <r>
      <t>Logic for formula calculation in Rows</t>
    </r>
    <r>
      <rPr>
        <b/>
        <strike/>
        <sz val="10"/>
        <color indexed="10"/>
        <rFont val="Times New Roman"/>
        <family val="1"/>
      </rPr>
      <t xml:space="preserve"> 31 through 38</t>
    </r>
    <r>
      <rPr>
        <b/>
        <sz val="10"/>
        <color indexed="10"/>
        <rFont val="Times New Roman"/>
        <family val="1"/>
      </rPr>
      <t>, columns B through F:</t>
    </r>
  </si>
  <si>
    <t>I think it should be rows 26-33.</t>
  </si>
  <si>
    <t>NIH notice NOT-HS-25-015</t>
  </si>
  <si>
    <t>In compliance with NOT-HS-25-015. Release date January 22, 2025---See</t>
  </si>
  <si>
    <t>26-27</t>
  </si>
  <si>
    <t>EQUIPMENT (List item and dollar amount for each item $5,000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</si>
</sst>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409]d\-mmm\-yy;@"/>
    <numFmt numFmtId="166" formatCode="0.000"/>
    <numFmt numFmtId="167" formatCode="0.0000"/>
    <numFmt numFmtId="168" formatCode="_(* #,##0.0000_);_(* \(#,##0.0000\);_(* &quot;-&quot;????_);_(@_)"/>
    <numFmt numFmtId="169" formatCode="_(* #,##0_);_(* \(#,##0\);_(* &quot;-&quot;??_);_(@_)"/>
    <numFmt numFmtId="170" formatCode="#,##0.0000_);\(#,##0.0000\)"/>
    <numFmt numFmtId="171" formatCode="_(* #,##0.0_);_(* \(#,##0.0\);_(* &quot;-&quot;??_);_(@_)"/>
  </numFmts>
  <fonts count="65" x14ac:knownFonts="1">
    <font>
      <sz val="10"/>
      <name val="Helv"/>
    </font>
    <font>
      <b/>
      <sz val="10"/>
      <name val="Helv"/>
    </font>
    <font>
      <sz val="10"/>
      <name val="Arial"/>
      <family val="2"/>
    </font>
    <font>
      <u/>
      <sz val="10"/>
      <color indexed="12"/>
      <name val="Helv"/>
    </font>
    <font>
      <sz val="8"/>
      <color indexed="81"/>
      <name val="Tahoma"/>
      <family val="2"/>
    </font>
    <font>
      <sz val="10"/>
      <name val="Times New Roman"/>
      <family val="1"/>
    </font>
    <font>
      <b/>
      <sz val="10"/>
      <name val="Times New Roman"/>
      <family val="1"/>
    </font>
    <font>
      <sz val="8"/>
      <name val="Times New Roman"/>
      <family val="1"/>
    </font>
    <font>
      <i/>
      <sz val="10"/>
      <name val="Times New Roman"/>
      <family val="1"/>
    </font>
    <font>
      <sz val="10"/>
      <color indexed="55"/>
      <name val="Times New Roman"/>
      <family val="1"/>
    </font>
    <font>
      <b/>
      <sz val="11"/>
      <name val="Times New Roman"/>
      <family val="1"/>
    </font>
    <font>
      <sz val="10"/>
      <color indexed="16"/>
      <name val="Times New Roman"/>
      <family val="1"/>
    </font>
    <font>
      <u/>
      <sz val="10"/>
      <name val="Times New Roman"/>
      <family val="1"/>
    </font>
    <font>
      <sz val="10"/>
      <name val="Helv"/>
    </font>
    <font>
      <sz val="9"/>
      <color indexed="81"/>
      <name val="Tahoma"/>
      <family val="2"/>
    </font>
    <font>
      <b/>
      <sz val="12"/>
      <name val="Times New Roman"/>
      <family val="1"/>
    </font>
    <font>
      <sz val="12"/>
      <name val="Times New Roman"/>
      <family val="1"/>
    </font>
    <font>
      <i/>
      <sz val="8"/>
      <name val="Times New Roman"/>
      <family val="1"/>
    </font>
    <font>
      <sz val="9"/>
      <name val="Arial"/>
      <family val="2"/>
    </font>
    <font>
      <b/>
      <sz val="10"/>
      <name val="Arial"/>
      <family val="2"/>
    </font>
    <font>
      <sz val="10"/>
      <color indexed="8"/>
      <name val="Arial"/>
      <family val="2"/>
    </font>
    <font>
      <b/>
      <sz val="9"/>
      <name val="Arial"/>
      <family val="2"/>
    </font>
    <font>
      <sz val="9"/>
      <color indexed="20"/>
      <name val="Arial"/>
      <family val="2"/>
    </font>
    <font>
      <b/>
      <sz val="10"/>
      <color indexed="8"/>
      <name val="Arial"/>
      <family val="2"/>
    </font>
    <font>
      <sz val="9"/>
      <color indexed="8"/>
      <name val="Arial"/>
      <family val="2"/>
    </font>
    <font>
      <u/>
      <sz val="9"/>
      <color indexed="8"/>
      <name val="Arial"/>
      <family val="2"/>
    </font>
    <font>
      <b/>
      <sz val="9"/>
      <color indexed="10"/>
      <name val="Arial"/>
      <family val="2"/>
    </font>
    <font>
      <b/>
      <sz val="8"/>
      <color indexed="81"/>
      <name val="Tahoma"/>
      <family val="2"/>
    </font>
    <font>
      <b/>
      <sz val="9"/>
      <color indexed="81"/>
      <name val="Tahoma"/>
      <family val="2"/>
    </font>
    <font>
      <b/>
      <sz val="12"/>
      <color indexed="10"/>
      <name val="Times New Roman"/>
      <family val="1"/>
    </font>
    <font>
      <b/>
      <i/>
      <sz val="10"/>
      <name val="Times New Roman"/>
      <family val="1"/>
    </font>
    <font>
      <sz val="11"/>
      <name val="Times New Roman"/>
      <family val="1"/>
    </font>
    <font>
      <i/>
      <sz val="11"/>
      <name val="Times New Roman"/>
      <family val="1"/>
    </font>
    <font>
      <u/>
      <sz val="11"/>
      <color indexed="12"/>
      <name val="Arial"/>
      <family val="2"/>
    </font>
    <font>
      <b/>
      <sz val="11"/>
      <name val="Arial"/>
      <family val="2"/>
    </font>
    <font>
      <b/>
      <sz val="10"/>
      <color indexed="10"/>
      <name val="Times New Roman"/>
      <family val="1"/>
    </font>
    <font>
      <sz val="11"/>
      <name val="Arial"/>
      <family val="2"/>
    </font>
    <font>
      <b/>
      <sz val="8"/>
      <name val="Times New Roman"/>
      <family val="1"/>
    </font>
    <font>
      <b/>
      <i/>
      <sz val="11"/>
      <name val="Times New Roman"/>
      <family val="1"/>
    </font>
    <font>
      <b/>
      <strike/>
      <sz val="10"/>
      <color indexed="10"/>
      <name val="Times New Roman"/>
      <family val="1"/>
    </font>
    <font>
      <sz val="11"/>
      <color theme="1"/>
      <name val="Calibri"/>
      <family val="2"/>
      <scheme val="minor"/>
    </font>
    <font>
      <b/>
      <sz val="11"/>
      <color theme="1"/>
      <name val="Calibri"/>
      <family val="2"/>
      <scheme val="minor"/>
    </font>
    <font>
      <b/>
      <sz val="10"/>
      <color theme="1"/>
      <name val="Times New Roman"/>
      <family val="1"/>
    </font>
    <font>
      <b/>
      <sz val="10"/>
      <color rgb="FF0000CC"/>
      <name val="Times New Roman"/>
      <family val="1"/>
    </font>
    <font>
      <b/>
      <sz val="10"/>
      <color rgb="FF00B050"/>
      <name val="Times New Roman"/>
      <family val="1"/>
    </font>
    <font>
      <sz val="10"/>
      <color rgb="FF0000CC"/>
      <name val="Times New Roman"/>
      <family val="1"/>
    </font>
    <font>
      <i/>
      <sz val="10"/>
      <color rgb="FF0000CC"/>
      <name val="Times New Roman"/>
      <family val="1"/>
    </font>
    <font>
      <b/>
      <sz val="16"/>
      <color rgb="FFFF0000"/>
      <name val="Times New Roman"/>
      <family val="1"/>
    </font>
    <font>
      <b/>
      <sz val="12"/>
      <color rgb="FFFF0000"/>
      <name val="Times New Roman"/>
      <family val="1"/>
    </font>
    <font>
      <b/>
      <sz val="10"/>
      <color rgb="FFFF0000"/>
      <name val="Times New Roman"/>
      <family val="1"/>
    </font>
    <font>
      <b/>
      <i/>
      <sz val="10"/>
      <color theme="0"/>
      <name val="Times New Roman"/>
      <family val="1"/>
    </font>
    <font>
      <sz val="10"/>
      <color rgb="FFFF0000"/>
      <name val="Times New Roman"/>
      <family val="1"/>
    </font>
    <font>
      <sz val="11"/>
      <color rgb="FF000000"/>
      <name val="Calibri"/>
      <family val="2"/>
    </font>
    <font>
      <sz val="10"/>
      <color theme="0"/>
      <name val="Times New Roman"/>
      <family val="1"/>
    </font>
    <font>
      <b/>
      <sz val="12"/>
      <color theme="1"/>
      <name val="Arial"/>
      <family val="2"/>
    </font>
    <font>
      <b/>
      <sz val="11"/>
      <color theme="1"/>
      <name val="Arial"/>
      <family val="2"/>
    </font>
    <font>
      <sz val="10"/>
      <color rgb="FF006600"/>
      <name val="Times New Roman"/>
      <family val="1"/>
    </font>
    <font>
      <b/>
      <sz val="10"/>
      <color rgb="FF006600"/>
      <name val="Times New Roman"/>
      <family val="1"/>
    </font>
    <font>
      <sz val="10"/>
      <color rgb="FF002060"/>
      <name val="Times New Roman"/>
      <family val="1"/>
    </font>
    <font>
      <b/>
      <sz val="10"/>
      <color rgb="FF0000FF"/>
      <name val="Times New Roman"/>
      <family val="1"/>
    </font>
    <font>
      <b/>
      <sz val="11"/>
      <color rgb="FF0000FF"/>
      <name val="Times New Roman"/>
      <family val="1"/>
    </font>
    <font>
      <u/>
      <sz val="10"/>
      <color indexed="12"/>
      <name val="Calibri"/>
      <family val="2"/>
      <scheme val="minor"/>
    </font>
    <font>
      <sz val="24"/>
      <name val="Calibri"/>
      <family val="2"/>
      <scheme val="minor"/>
    </font>
    <font>
      <b/>
      <sz val="12"/>
      <color rgb="FFFF0000"/>
      <name val="Arial"/>
      <family val="2"/>
    </font>
    <font>
      <b/>
      <sz val="12"/>
      <color rgb="FF0000CC"/>
      <name val="Times New Roman"/>
      <family val="1"/>
    </font>
  </fonts>
  <fills count="19">
    <fill>
      <patternFill patternType="none"/>
    </fill>
    <fill>
      <patternFill patternType="gray125"/>
    </fill>
    <fill>
      <patternFill patternType="solid">
        <fgColor indexed="47"/>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rgb="FFFFFF0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CC"/>
        <bgColor indexed="64"/>
      </patternFill>
    </fill>
    <fill>
      <patternFill patternType="solid">
        <fgColor rgb="FFFFCC00"/>
        <bgColor indexed="64"/>
      </patternFill>
    </fill>
    <fill>
      <patternFill patternType="solid">
        <fgColor rgb="FF99FFCC"/>
        <bgColor indexed="64"/>
      </patternFill>
    </fill>
    <fill>
      <patternFill patternType="solid">
        <fgColor theme="9" tint="0.79998168889431442"/>
        <bgColor indexed="64"/>
      </patternFill>
    </fill>
    <fill>
      <patternFill patternType="solid">
        <fgColor rgb="FF00FF00"/>
        <bgColor indexed="64"/>
      </patternFill>
    </fill>
    <fill>
      <patternFill patternType="solid">
        <fgColor theme="7" tint="0.59999389629810485"/>
        <bgColor indexed="64"/>
      </patternFill>
    </fill>
    <fill>
      <patternFill patternType="solid">
        <fgColor rgb="FFF2F2F2"/>
        <bgColor indexed="64"/>
      </patternFill>
    </fill>
    <fill>
      <patternFill patternType="solid">
        <fgColor theme="8" tint="0.79998168889431442"/>
        <bgColor indexed="64"/>
      </patternFill>
    </fill>
  </fills>
  <borders count="71">
    <border>
      <left/>
      <right/>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medium">
        <color indexed="64"/>
      </top>
      <bottom/>
      <diagonal/>
    </border>
    <border>
      <left/>
      <right/>
      <top/>
      <bottom style="double">
        <color indexed="64"/>
      </bottom>
      <diagonal/>
    </border>
    <border>
      <left style="thin">
        <color indexed="64"/>
      </left>
      <right/>
      <top/>
      <bottom style="double">
        <color indexed="64"/>
      </bottom>
      <diagonal/>
    </border>
    <border>
      <left/>
      <right/>
      <top style="double">
        <color indexed="64"/>
      </top>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right style="medium">
        <color indexed="64"/>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rgb="FF000000"/>
      </bottom>
      <diagonal/>
    </border>
    <border>
      <left/>
      <right/>
      <top/>
      <bottom style="medium">
        <color rgb="FF000000"/>
      </bottom>
      <diagonal/>
    </border>
    <border>
      <left style="medium">
        <color indexed="64"/>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indexed="64"/>
      </left>
      <right style="medium">
        <color rgb="FF000000"/>
      </right>
      <top style="medium">
        <color indexed="64"/>
      </top>
      <bottom style="medium">
        <color rgb="FF000000"/>
      </bottom>
      <diagonal/>
    </border>
    <border>
      <left style="thin">
        <color indexed="64"/>
      </left>
      <right/>
      <top/>
      <bottom style="medium">
        <color rgb="FF000000"/>
      </bottom>
      <diagonal/>
    </border>
    <border>
      <left style="thin">
        <color indexed="64"/>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style="thin">
        <color indexed="64"/>
      </left>
      <right/>
      <top style="thin">
        <color theme="0" tint="-0.24994659260841701"/>
      </top>
      <bottom style="thin">
        <color indexed="64"/>
      </bottom>
      <diagonal/>
    </border>
    <border>
      <left/>
      <right/>
      <top style="thin">
        <color theme="0" tint="-0.24994659260841701"/>
      </top>
      <bottom style="thin">
        <color indexed="64"/>
      </bottom>
      <diagonal/>
    </border>
    <border>
      <left/>
      <right style="thin">
        <color indexed="64"/>
      </right>
      <top style="thin">
        <color theme="0" tint="-0.24994659260841701"/>
      </top>
      <bottom style="thin">
        <color indexed="64"/>
      </bottom>
      <diagonal/>
    </border>
    <border>
      <left/>
      <right style="thin">
        <color indexed="64"/>
      </right>
      <top style="thin">
        <color theme="0" tint="-0.24994659260841701"/>
      </top>
      <bottom style="thin">
        <color theme="0" tint="-0.24994659260841701"/>
      </bottom>
      <diagonal/>
    </border>
    <border>
      <left style="medium">
        <color rgb="FF000000"/>
      </left>
      <right/>
      <top style="medium">
        <color theme="0" tint="-0.14996795556505021"/>
      </top>
      <bottom style="medium">
        <color theme="0" tint="-0.24994659260841701"/>
      </bottom>
      <diagonal/>
    </border>
    <border>
      <left style="medium">
        <color rgb="FF000000"/>
      </left>
      <right/>
      <top style="medium">
        <color theme="0" tint="-0.24994659260841701"/>
      </top>
      <bottom style="medium">
        <color theme="0" tint="-0.24994659260841701"/>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s>
  <cellStyleXfs count="11">
    <xf numFmtId="0" fontId="0" fillId="0" borderId="0"/>
    <xf numFmtId="43" fontId="2" fillId="0" borderId="0" applyFont="0" applyFill="0" applyBorder="0" applyAlignment="0" applyProtection="0"/>
    <xf numFmtId="43" fontId="2" fillId="0" borderId="0" applyFont="0" applyFill="0" applyBorder="0" applyAlignment="0" applyProtection="0"/>
    <xf numFmtId="0" fontId="3" fillId="0" borderId="0" applyNumberFormat="0" applyFill="0" applyBorder="0" applyAlignment="0" applyProtection="0">
      <alignment vertical="top"/>
      <protection locked="0"/>
    </xf>
    <xf numFmtId="0" fontId="13" fillId="0" borderId="0"/>
    <xf numFmtId="0" fontId="2" fillId="0" borderId="0"/>
    <xf numFmtId="0" fontId="40"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40" fillId="0" borderId="0" applyFont="0" applyFill="0" applyBorder="0" applyAlignment="0" applyProtection="0"/>
  </cellStyleXfs>
  <cellXfs count="467">
    <xf numFmtId="0" fontId="0" fillId="0" borderId="0" xfId="0"/>
    <xf numFmtId="0" fontId="5" fillId="0" borderId="0" xfId="0" applyFont="1"/>
    <xf numFmtId="0" fontId="5" fillId="0" borderId="1" xfId="0" applyFont="1" applyBorder="1"/>
    <xf numFmtId="41" fontId="5" fillId="0" borderId="0" xfId="0" applyNumberFormat="1" applyFont="1"/>
    <xf numFmtId="0" fontId="5" fillId="0" borderId="2" xfId="0" applyFont="1" applyBorder="1"/>
    <xf numFmtId="0" fontId="5" fillId="0" borderId="3" xfId="0" applyFont="1" applyBorder="1"/>
    <xf numFmtId="0" fontId="5" fillId="0" borderId="4" xfId="0" applyFont="1" applyBorder="1"/>
    <xf numFmtId="0" fontId="5" fillId="0" borderId="5" xfId="0" applyFont="1" applyBorder="1"/>
    <xf numFmtId="3" fontId="6" fillId="0" borderId="0" xfId="0" applyNumberFormat="1" applyFont="1" applyAlignment="1">
      <alignment horizontal="right"/>
    </xf>
    <xf numFmtId="0" fontId="5" fillId="0" borderId="6" xfId="0" applyFont="1" applyBorder="1"/>
    <xf numFmtId="3" fontId="6" fillId="0" borderId="0" xfId="0" applyNumberFormat="1" applyFont="1"/>
    <xf numFmtId="9" fontId="9" fillId="0" borderId="0" xfId="0" applyNumberFormat="1" applyFont="1"/>
    <xf numFmtId="0" fontId="7" fillId="0" borderId="7" xfId="0" applyFont="1" applyBorder="1" applyAlignment="1">
      <alignment horizontal="center"/>
    </xf>
    <xf numFmtId="0" fontId="5" fillId="0" borderId="0" xfId="0" applyFont="1" applyAlignment="1">
      <alignment horizontal="center"/>
    </xf>
    <xf numFmtId="41" fontId="12" fillId="0" borderId="0" xfId="0" applyNumberFormat="1" applyFont="1" applyAlignment="1">
      <alignment horizontal="center"/>
    </xf>
    <xf numFmtId="0" fontId="6" fillId="0" borderId="0" xfId="0" applyFont="1"/>
    <xf numFmtId="10" fontId="5" fillId="0" borderId="0" xfId="0" applyNumberFormat="1" applyFont="1"/>
    <xf numFmtId="0" fontId="5" fillId="0" borderId="8" xfId="0" applyFont="1" applyBorder="1"/>
    <xf numFmtId="1" fontId="5" fillId="0" borderId="0" xfId="0" applyNumberFormat="1" applyFont="1"/>
    <xf numFmtId="0" fontId="5" fillId="0" borderId="9" xfId="0" applyFont="1" applyBorder="1"/>
    <xf numFmtId="41" fontId="6" fillId="0" borderId="0" xfId="0" applyNumberFormat="1" applyFont="1"/>
    <xf numFmtId="41" fontId="6" fillId="0" borderId="10" xfId="0" applyNumberFormat="1" applyFont="1" applyBorder="1"/>
    <xf numFmtId="0" fontId="6" fillId="6" borderId="0" xfId="0" applyFont="1" applyFill="1" applyAlignment="1">
      <alignment horizontal="center"/>
    </xf>
    <xf numFmtId="0" fontId="3" fillId="0" borderId="0" xfId="3" applyAlignment="1" applyProtection="1"/>
    <xf numFmtId="0" fontId="18" fillId="0" borderId="2" xfId="7" applyFont="1" applyBorder="1"/>
    <xf numFmtId="0" fontId="18" fillId="0" borderId="3" xfId="7" applyFont="1" applyBorder="1"/>
    <xf numFmtId="0" fontId="19" fillId="0" borderId="3" xfId="7" applyFont="1" applyBorder="1" applyAlignment="1">
      <alignment horizontal="center"/>
    </xf>
    <xf numFmtId="0" fontId="18" fillId="0" borderId="8" xfId="7" applyFont="1" applyBorder="1"/>
    <xf numFmtId="0" fontId="20" fillId="0" borderId="0" xfId="7" applyFont="1" applyProtection="1">
      <protection locked="0"/>
    </xf>
    <xf numFmtId="0" fontId="13" fillId="0" borderId="0" xfId="0" applyFont="1" applyProtection="1">
      <protection locked="0"/>
    </xf>
    <xf numFmtId="0" fontId="0" fillId="0" borderId="0" xfId="0" applyProtection="1">
      <protection locked="0"/>
    </xf>
    <xf numFmtId="0" fontId="18" fillId="0" borderId="4" xfId="7" applyFont="1" applyBorder="1"/>
    <xf numFmtId="0" fontId="21" fillId="0" borderId="0" xfId="7" applyFont="1" applyAlignment="1">
      <alignment horizontal="center"/>
    </xf>
    <xf numFmtId="0" fontId="18" fillId="0" borderId="0" xfId="7" applyFont="1"/>
    <xf numFmtId="0" fontId="22" fillId="0" borderId="0" xfId="7" applyFont="1"/>
    <xf numFmtId="0" fontId="18" fillId="0" borderId="5" xfId="7" applyFont="1" applyBorder="1"/>
    <xf numFmtId="0" fontId="20" fillId="0" borderId="4" xfId="7" applyFont="1" applyBorder="1"/>
    <xf numFmtId="0" fontId="20" fillId="0" borderId="0" xfId="7" applyFont="1"/>
    <xf numFmtId="0" fontId="20" fillId="0" borderId="5" xfId="7" applyFont="1" applyBorder="1"/>
    <xf numFmtId="0" fontId="0" fillId="0" borderId="5" xfId="0" applyBorder="1"/>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0" xfId="7" applyFont="1" applyFill="1"/>
    <xf numFmtId="0" fontId="24" fillId="2" borderId="5" xfId="7" applyFont="1" applyFill="1" applyBorder="1" applyAlignment="1">
      <alignment horizontal="center"/>
    </xf>
    <xf numFmtId="0" fontId="18" fillId="0" borderId="0" xfId="7" applyFont="1" applyProtection="1">
      <protection locked="0"/>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5" fillId="2" borderId="0" xfId="7" applyFont="1" applyFill="1"/>
    <xf numFmtId="0" fontId="24" fillId="2" borderId="12" xfId="7" applyFont="1" applyFill="1" applyBorder="1" applyAlignment="1">
      <alignment horizontal="center"/>
    </xf>
    <xf numFmtId="0" fontId="25" fillId="2" borderId="5" xfId="7" applyFont="1" applyFill="1" applyBorder="1"/>
    <xf numFmtId="0" fontId="23" fillId="0" borderId="0" xfId="7" applyFont="1" applyAlignment="1">
      <alignment horizontal="center"/>
    </xf>
    <xf numFmtId="0" fontId="25" fillId="2" borderId="0" xfId="7" applyFont="1" applyFill="1" applyAlignment="1">
      <alignment horizontal="center"/>
    </xf>
    <xf numFmtId="0" fontId="24" fillId="2" borderId="0" xfId="7" applyFont="1" applyFill="1" applyAlignment="1">
      <alignment horizontal="right"/>
    </xf>
    <xf numFmtId="0" fontId="24" fillId="2" borderId="5" xfId="7" applyFont="1" applyFill="1" applyBorder="1" applyAlignment="1">
      <alignment horizontal="right"/>
    </xf>
    <xf numFmtId="13" fontId="20" fillId="0" borderId="0" xfId="7" applyNumberFormat="1" applyFont="1" applyAlignment="1">
      <alignment horizontal="center"/>
    </xf>
    <xf numFmtId="13" fontId="20" fillId="0" borderId="0" xfId="7" quotePrefix="1" applyNumberFormat="1" applyFont="1" applyAlignment="1">
      <alignment horizontal="center"/>
    </xf>
    <xf numFmtId="13" fontId="20" fillId="0" borderId="0" xfId="7" applyNumberFormat="1" applyFont="1" applyAlignment="1" applyProtection="1">
      <alignment horizontal="center"/>
      <protection locked="0"/>
    </xf>
    <xf numFmtId="167" fontId="21" fillId="7" borderId="13" xfId="7" applyNumberFormat="1" applyFont="1" applyFill="1" applyBorder="1" applyAlignment="1" applyProtection="1">
      <alignment horizontal="center"/>
      <protection locked="0"/>
    </xf>
    <xf numFmtId="2" fontId="21" fillId="8" borderId="14" xfId="7" applyNumberFormat="1" applyFont="1" applyFill="1" applyBorder="1"/>
    <xf numFmtId="2" fontId="21" fillId="3" borderId="0" xfId="7" applyNumberFormat="1" applyFont="1" applyFill="1"/>
    <xf numFmtId="0" fontId="21" fillId="7" borderId="15" xfId="7" applyFont="1" applyFill="1" applyBorder="1" applyProtection="1">
      <protection locked="0"/>
    </xf>
    <xf numFmtId="2" fontId="21" fillId="8" borderId="14" xfId="7" applyNumberFormat="1" applyFont="1" applyFill="1" applyBorder="1" applyAlignment="1">
      <alignment horizontal="right"/>
    </xf>
    <xf numFmtId="0" fontId="21" fillId="3" borderId="14" xfId="7" applyFont="1" applyFill="1" applyBorder="1"/>
    <xf numFmtId="2" fontId="21" fillId="8" borderId="16" xfId="7" applyNumberFormat="1" applyFont="1" applyFill="1" applyBorder="1"/>
    <xf numFmtId="2" fontId="0" fillId="0" borderId="0" xfId="0" applyNumberFormat="1" applyAlignment="1">
      <alignment horizontal="center"/>
    </xf>
    <xf numFmtId="0" fontId="18" fillId="3" borderId="17" xfId="7" applyFont="1" applyFill="1" applyBorder="1"/>
    <xf numFmtId="2" fontId="18" fillId="3" borderId="6" xfId="7" applyNumberFormat="1" applyFont="1" applyFill="1" applyBorder="1"/>
    <xf numFmtId="0" fontId="18" fillId="3" borderId="6" xfId="7" applyFont="1" applyFill="1" applyBorder="1"/>
    <xf numFmtId="2" fontId="18" fillId="3" borderId="9" xfId="7" applyNumberFormat="1" applyFont="1" applyFill="1" applyBorder="1"/>
    <xf numFmtId="2" fontId="18" fillId="0" borderId="0" xfId="7" applyNumberFormat="1" applyFont="1"/>
    <xf numFmtId="2" fontId="18" fillId="0" borderId="5" xfId="7" applyNumberFormat="1" applyFont="1" applyBorder="1"/>
    <xf numFmtId="0" fontId="26" fillId="0" borderId="4" xfId="7" applyFont="1" applyBorder="1"/>
    <xf numFmtId="2" fontId="26" fillId="0" borderId="0" xfId="7" applyNumberFormat="1" applyFont="1"/>
    <xf numFmtId="0" fontId="26" fillId="0" borderId="0" xfId="7" applyFont="1"/>
    <xf numFmtId="0" fontId="26" fillId="0" borderId="5" xfId="7" applyFont="1" applyBorder="1"/>
    <xf numFmtId="0" fontId="25" fillId="2" borderId="4" xfId="7" applyFont="1" applyFill="1" applyBorder="1"/>
    <xf numFmtId="0" fontId="18" fillId="2" borderId="4" xfId="7" applyFont="1" applyFill="1" applyBorder="1" applyAlignment="1">
      <alignment horizontal="right"/>
    </xf>
    <xf numFmtId="0" fontId="22" fillId="2" borderId="0" xfId="7" applyFont="1" applyFill="1" applyAlignment="1">
      <alignment horizontal="right"/>
    </xf>
    <xf numFmtId="0" fontId="18" fillId="2" borderId="0" xfId="7" applyFont="1" applyFill="1" applyAlignment="1">
      <alignment horizontal="right"/>
    </xf>
    <xf numFmtId="0" fontId="22" fillId="2" borderId="0" xfId="7" applyFont="1" applyFill="1"/>
    <xf numFmtId="0" fontId="25" fillId="2" borderId="12" xfId="7" applyFont="1" applyFill="1" applyBorder="1" applyAlignment="1">
      <alignment horizontal="center"/>
    </xf>
    <xf numFmtId="0" fontId="21" fillId="9" borderId="13" xfId="7" applyFont="1" applyFill="1" applyBorder="1" applyProtection="1">
      <protection locked="0"/>
    </xf>
    <xf numFmtId="168" fontId="21" fillId="8" borderId="14" xfId="7" applyNumberFormat="1" applyFont="1" applyFill="1" applyBorder="1" applyAlignment="1">
      <alignment horizontal="center"/>
    </xf>
    <xf numFmtId="0" fontId="21" fillId="9" borderId="15" xfId="7" applyFont="1" applyFill="1" applyBorder="1" applyProtection="1">
      <protection locked="0"/>
    </xf>
    <xf numFmtId="168" fontId="21" fillId="8" borderId="14" xfId="7" applyNumberFormat="1" applyFont="1" applyFill="1" applyBorder="1"/>
    <xf numFmtId="168" fontId="21" fillId="8" borderId="16" xfId="7" applyNumberFormat="1" applyFont="1" applyFill="1" applyBorder="1"/>
    <xf numFmtId="2" fontId="26" fillId="0" borderId="0" xfId="7" applyNumberFormat="1" applyFont="1" applyProtection="1">
      <protection locked="0"/>
    </xf>
    <xf numFmtId="2" fontId="18" fillId="0" borderId="0" xfId="7" applyNumberFormat="1" applyFont="1" applyProtection="1">
      <protection locked="0"/>
    </xf>
    <xf numFmtId="43" fontId="5" fillId="0" borderId="0" xfId="0" applyNumberFormat="1" applyFont="1"/>
    <xf numFmtId="0" fontId="6" fillId="10" borderId="14" xfId="0" applyFont="1" applyFill="1" applyBorder="1"/>
    <xf numFmtId="0" fontId="6" fillId="10" borderId="18" xfId="0" applyFont="1" applyFill="1" applyBorder="1"/>
    <xf numFmtId="0" fontId="6" fillId="10" borderId="19" xfId="0" applyFont="1" applyFill="1" applyBorder="1" applyAlignment="1">
      <alignment horizontal="right"/>
    </xf>
    <xf numFmtId="0" fontId="5" fillId="10" borderId="0" xfId="0" applyFont="1" applyFill="1"/>
    <xf numFmtId="3" fontId="8" fillId="0" borderId="0" xfId="0" applyNumberFormat="1" applyFont="1" applyAlignment="1">
      <alignment horizontal="left"/>
    </xf>
    <xf numFmtId="3" fontId="5" fillId="0" borderId="0" xfId="0" applyNumberFormat="1" applyFont="1"/>
    <xf numFmtId="0" fontId="0" fillId="0" borderId="1" xfId="0" applyBorder="1"/>
    <xf numFmtId="43" fontId="42" fillId="0" borderId="0" xfId="1" applyFont="1" applyFill="1" applyBorder="1"/>
    <xf numFmtId="43" fontId="5" fillId="0" borderId="0" xfId="1" applyFont="1" applyFill="1" applyBorder="1" applyAlignment="1"/>
    <xf numFmtId="10" fontId="5" fillId="0" borderId="0" xfId="8" applyNumberFormat="1" applyFont="1" applyFill="1" applyBorder="1"/>
    <xf numFmtId="0" fontId="0" fillId="0" borderId="20" xfId="0" applyBorder="1"/>
    <xf numFmtId="43" fontId="43" fillId="11" borderId="21" xfId="1" applyFont="1" applyFill="1" applyBorder="1"/>
    <xf numFmtId="43" fontId="43" fillId="10" borderId="22" xfId="1" applyFont="1" applyFill="1" applyBorder="1"/>
    <xf numFmtId="44" fontId="42" fillId="12" borderId="22" xfId="1" applyNumberFormat="1" applyFont="1" applyFill="1" applyBorder="1"/>
    <xf numFmtId="43" fontId="42" fillId="10" borderId="21" xfId="1" applyFont="1" applyFill="1" applyBorder="1"/>
    <xf numFmtId="43" fontId="42" fillId="10" borderId="23" xfId="1" applyFont="1" applyFill="1" applyBorder="1"/>
    <xf numFmtId="44" fontId="42" fillId="10" borderId="22" xfId="1" applyNumberFormat="1" applyFont="1" applyFill="1" applyBorder="1"/>
    <xf numFmtId="43" fontId="5" fillId="0" borderId="0" xfId="1" applyFont="1" applyFill="1" applyBorder="1" applyAlignment="1">
      <alignment horizontal="center"/>
    </xf>
    <xf numFmtId="43" fontId="42" fillId="10" borderId="1" xfId="1" applyFont="1" applyFill="1" applyBorder="1"/>
    <xf numFmtId="43" fontId="42" fillId="10" borderId="0" xfId="1" applyFont="1" applyFill="1" applyBorder="1"/>
    <xf numFmtId="44" fontId="6" fillId="10" borderId="15" xfId="1" applyNumberFormat="1" applyFont="1" applyFill="1" applyBorder="1" applyAlignment="1">
      <alignment horizontal="center"/>
    </xf>
    <xf numFmtId="44" fontId="6" fillId="0" borderId="0" xfId="1" applyNumberFormat="1" applyFont="1" applyFill="1" applyBorder="1" applyAlignment="1">
      <alignment horizontal="center"/>
    </xf>
    <xf numFmtId="37" fontId="6" fillId="12" borderId="15" xfId="1" applyNumberFormat="1" applyFont="1" applyFill="1" applyBorder="1" applyAlignment="1">
      <alignment horizontal="center"/>
    </xf>
    <xf numFmtId="44" fontId="42" fillId="12" borderId="24" xfId="1" applyNumberFormat="1" applyFont="1" applyFill="1" applyBorder="1"/>
    <xf numFmtId="43" fontId="42" fillId="10" borderId="22" xfId="1" applyFont="1" applyFill="1" applyBorder="1"/>
    <xf numFmtId="44" fontId="42" fillId="10" borderId="25" xfId="1" applyNumberFormat="1" applyFont="1" applyFill="1" applyBorder="1"/>
    <xf numFmtId="43" fontId="5" fillId="0" borderId="0" xfId="1" applyFont="1" applyFill="1" applyBorder="1"/>
    <xf numFmtId="44" fontId="42" fillId="10" borderId="15" xfId="1" applyNumberFormat="1" applyFont="1" applyFill="1" applyBorder="1"/>
    <xf numFmtId="10" fontId="42" fillId="10" borderId="15" xfId="1" applyNumberFormat="1" applyFont="1" applyFill="1" applyBorder="1"/>
    <xf numFmtId="44" fontId="42" fillId="10" borderId="23" xfId="1" applyNumberFormat="1" applyFont="1" applyFill="1" applyBorder="1"/>
    <xf numFmtId="43" fontId="42" fillId="10" borderId="15" xfId="1" applyFont="1" applyFill="1" applyBorder="1" applyAlignment="1">
      <alignment horizontal="center"/>
    </xf>
    <xf numFmtId="43" fontId="43" fillId="10" borderId="0" xfId="1" applyFont="1" applyFill="1" applyBorder="1"/>
    <xf numFmtId="10" fontId="43" fillId="10" borderId="0" xfId="8" applyNumberFormat="1" applyFont="1" applyFill="1" applyBorder="1" applyAlignment="1">
      <alignment horizontal="right"/>
    </xf>
    <xf numFmtId="10" fontId="42" fillId="12" borderId="15" xfId="8" applyNumberFormat="1" applyFont="1" applyFill="1" applyBorder="1"/>
    <xf numFmtId="43" fontId="5" fillId="10" borderId="23" xfId="1" applyFont="1" applyFill="1" applyBorder="1" applyAlignment="1">
      <alignment horizontal="center"/>
    </xf>
    <xf numFmtId="0" fontId="0" fillId="10" borderId="23" xfId="0" applyFill="1" applyBorder="1"/>
    <xf numFmtId="10" fontId="5" fillId="10" borderId="23" xfId="8" applyNumberFormat="1" applyFont="1" applyFill="1" applyBorder="1"/>
    <xf numFmtId="0" fontId="5" fillId="10" borderId="22" xfId="0" applyFont="1" applyFill="1" applyBorder="1"/>
    <xf numFmtId="170" fontId="42" fillId="10" borderId="15" xfId="1" applyNumberFormat="1" applyFont="1" applyFill="1" applyBorder="1"/>
    <xf numFmtId="42" fontId="6" fillId="10" borderId="15" xfId="1" applyNumberFormat="1" applyFont="1" applyFill="1" applyBorder="1"/>
    <xf numFmtId="0" fontId="6" fillId="0" borderId="0" xfId="0" applyFont="1" applyAlignment="1">
      <alignment horizontal="left"/>
    </xf>
    <xf numFmtId="0" fontId="6" fillId="0" borderId="1" xfId="0" applyFont="1" applyBorder="1"/>
    <xf numFmtId="43" fontId="42" fillId="0" borderId="0" xfId="1" applyFont="1" applyFill="1" applyBorder="1" applyAlignment="1">
      <alignment horizontal="left"/>
    </xf>
    <xf numFmtId="0" fontId="0" fillId="0" borderId="26" xfId="0" applyBorder="1"/>
    <xf numFmtId="44" fontId="0" fillId="0" borderId="0" xfId="0" applyNumberFormat="1"/>
    <xf numFmtId="0" fontId="6" fillId="9" borderId="0" xfId="0" applyFont="1" applyFill="1"/>
    <xf numFmtId="0" fontId="5" fillId="0" borderId="20" xfId="0" applyFont="1" applyBorder="1"/>
    <xf numFmtId="3" fontId="8" fillId="0" borderId="20" xfId="0" applyNumberFormat="1" applyFont="1" applyBorder="1" applyAlignment="1">
      <alignment horizontal="left"/>
    </xf>
    <xf numFmtId="3" fontId="5" fillId="0" borderId="1" xfId="0" applyNumberFormat="1" applyFont="1" applyBorder="1" applyAlignment="1">
      <alignment horizontal="left"/>
    </xf>
    <xf numFmtId="0" fontId="5" fillId="0" borderId="27" xfId="0" applyFont="1" applyBorder="1"/>
    <xf numFmtId="0" fontId="5" fillId="0" borderId="10" xfId="0" applyFont="1" applyBorder="1"/>
    <xf numFmtId="0" fontId="5" fillId="0" borderId="26" xfId="0" applyFont="1" applyBorder="1"/>
    <xf numFmtId="3" fontId="30" fillId="0" borderId="19" xfId="0" applyNumberFormat="1" applyFont="1" applyBorder="1" applyAlignment="1">
      <alignment horizontal="left"/>
    </xf>
    <xf numFmtId="0" fontId="8" fillId="0" borderId="19" xfId="0" applyFont="1" applyBorder="1"/>
    <xf numFmtId="0" fontId="8" fillId="0" borderId="14" xfId="0" applyFont="1" applyBorder="1"/>
    <xf numFmtId="0" fontId="5" fillId="0" borderId="14" xfId="0" applyFont="1" applyBorder="1"/>
    <xf numFmtId="0" fontId="5" fillId="0" borderId="18" xfId="0" applyFont="1" applyBorder="1"/>
    <xf numFmtId="0" fontId="6" fillId="9" borderId="15" xfId="0" applyFont="1" applyFill="1" applyBorder="1" applyAlignment="1">
      <alignment horizontal="center"/>
    </xf>
    <xf numFmtId="3" fontId="44" fillId="0" borderId="0" xfId="0" applyNumberFormat="1" applyFont="1"/>
    <xf numFmtId="0" fontId="45" fillId="0" borderId="0" xfId="0" applyFont="1"/>
    <xf numFmtId="3" fontId="46" fillId="0" borderId="0" xfId="0" applyNumberFormat="1" applyFont="1" applyAlignment="1">
      <alignment horizontal="left"/>
    </xf>
    <xf numFmtId="3" fontId="43" fillId="0" borderId="0" xfId="0" applyNumberFormat="1" applyFont="1"/>
    <xf numFmtId="3" fontId="45" fillId="0" borderId="0" xfId="0" applyNumberFormat="1" applyFont="1"/>
    <xf numFmtId="10" fontId="43" fillId="0" borderId="0" xfId="0" applyNumberFormat="1" applyFont="1"/>
    <xf numFmtId="0" fontId="2" fillId="10" borderId="47" xfId="0" applyFont="1" applyFill="1" applyBorder="1" applyAlignment="1">
      <alignment vertical="center" wrapText="1"/>
    </xf>
    <xf numFmtId="0" fontId="2" fillId="0" borderId="0" xfId="5"/>
    <xf numFmtId="14" fontId="2" fillId="0" borderId="0" xfId="5" applyNumberFormat="1"/>
    <xf numFmtId="0" fontId="2" fillId="0" borderId="0" xfId="5" applyAlignment="1">
      <alignment horizontal="center"/>
    </xf>
    <xf numFmtId="14" fontId="19" fillId="5" borderId="0" xfId="5" applyNumberFormat="1" applyFont="1" applyFill="1"/>
    <xf numFmtId="0" fontId="2" fillId="0" borderId="0" xfId="5" applyAlignment="1">
      <alignment horizontal="right"/>
    </xf>
    <xf numFmtId="43" fontId="2" fillId="0" borderId="0" xfId="2" applyFont="1"/>
    <xf numFmtId="43" fontId="2" fillId="0" borderId="0" xfId="5" applyNumberFormat="1"/>
    <xf numFmtId="164" fontId="2" fillId="0" borderId="0" xfId="9" applyNumberFormat="1" applyFont="1"/>
    <xf numFmtId="14" fontId="2" fillId="0" borderId="20" xfId="5" applyNumberFormat="1" applyBorder="1"/>
    <xf numFmtId="0" fontId="47" fillId="13" borderId="15" xfId="0" applyFont="1" applyFill="1" applyBorder="1" applyAlignment="1" applyProtection="1">
      <alignment horizontal="center"/>
      <protection locked="0"/>
    </xf>
    <xf numFmtId="0" fontId="15" fillId="11" borderId="23" xfId="0" applyFont="1" applyFill="1" applyBorder="1" applyProtection="1">
      <protection locked="0"/>
    </xf>
    <xf numFmtId="0" fontId="16" fillId="11" borderId="23" xfId="0" applyFont="1" applyFill="1" applyBorder="1" applyProtection="1">
      <protection locked="0"/>
    </xf>
    <xf numFmtId="0" fontId="5" fillId="11" borderId="22" xfId="0" applyFont="1" applyFill="1" applyBorder="1" applyProtection="1">
      <protection locked="0"/>
    </xf>
    <xf numFmtId="0" fontId="47" fillId="0" borderId="0" xfId="0" applyFont="1" applyAlignment="1" applyProtection="1">
      <alignment horizontal="center"/>
      <protection locked="0"/>
    </xf>
    <xf numFmtId="0" fontId="48" fillId="10" borderId="0" xfId="0" applyFont="1" applyFill="1" applyAlignment="1" applyProtection="1">
      <alignment vertical="center"/>
      <protection locked="0"/>
    </xf>
    <xf numFmtId="0" fontId="15" fillId="10" borderId="0" xfId="0" applyFont="1" applyFill="1" applyProtection="1">
      <protection locked="0"/>
    </xf>
    <xf numFmtId="0" fontId="16" fillId="10" borderId="0" xfId="0" applyFont="1" applyFill="1" applyProtection="1">
      <protection locked="0"/>
    </xf>
    <xf numFmtId="0" fontId="5" fillId="10" borderId="0" xfId="0" applyFont="1" applyFill="1" applyProtection="1">
      <protection locked="0"/>
    </xf>
    <xf numFmtId="0" fontId="5" fillId="0" borderId="0" xfId="0" applyFont="1" applyProtection="1">
      <protection locked="0"/>
    </xf>
    <xf numFmtId="0" fontId="6" fillId="10" borderId="0" xfId="0" applyFont="1" applyFill="1" applyAlignment="1" applyProtection="1">
      <alignment horizontal="right"/>
      <protection locked="0"/>
    </xf>
    <xf numFmtId="0" fontId="6" fillId="6" borderId="0" xfId="0" applyFont="1" applyFill="1" applyProtection="1">
      <protection locked="0"/>
    </xf>
    <xf numFmtId="0" fontId="49" fillId="0" borderId="0" xfId="0" applyFont="1" applyAlignment="1" applyProtection="1">
      <alignment horizontal="left"/>
      <protection locked="0"/>
    </xf>
    <xf numFmtId="0" fontId="6" fillId="0" borderId="0" xfId="0" applyFont="1" applyProtection="1">
      <protection locked="0"/>
    </xf>
    <xf numFmtId="0" fontId="6" fillId="0" borderId="0" xfId="0" applyFont="1" applyAlignment="1" applyProtection="1">
      <alignment horizontal="center"/>
      <protection locked="0"/>
    </xf>
    <xf numFmtId="0" fontId="6" fillId="0" borderId="1" xfId="0" applyFont="1" applyBorder="1" applyAlignment="1" applyProtection="1">
      <alignment horizontal="center"/>
      <protection locked="0"/>
    </xf>
    <xf numFmtId="165" fontId="5" fillId="10" borderId="0" xfId="0" applyNumberFormat="1" applyFont="1" applyFill="1" applyProtection="1">
      <protection locked="0"/>
    </xf>
    <xf numFmtId="0" fontId="5" fillId="0" borderId="1" xfId="0" applyFont="1" applyBorder="1" applyProtection="1">
      <protection locked="0"/>
    </xf>
    <xf numFmtId="3" fontId="10" fillId="0" borderId="0" xfId="0" applyNumberFormat="1" applyFont="1" applyProtection="1">
      <protection locked="0"/>
    </xf>
    <xf numFmtId="0" fontId="5" fillId="0" borderId="0" xfId="0" applyFont="1" applyAlignment="1" applyProtection="1">
      <alignment horizontal="center"/>
      <protection locked="0"/>
    </xf>
    <xf numFmtId="3" fontId="5" fillId="0" borderId="0" xfId="0" applyNumberFormat="1" applyFont="1" applyAlignment="1" applyProtection="1">
      <alignment horizontal="center"/>
      <protection locked="0"/>
    </xf>
    <xf numFmtId="3" fontId="5" fillId="0" borderId="0" xfId="0" quotePrefix="1" applyNumberFormat="1" applyFont="1" applyAlignment="1" applyProtection="1">
      <alignment horizontal="center"/>
      <protection locked="0"/>
    </xf>
    <xf numFmtId="3" fontId="5" fillId="0" borderId="0" xfId="0" applyNumberFormat="1" applyFont="1" applyProtection="1">
      <protection locked="0"/>
    </xf>
    <xf numFmtId="3" fontId="5" fillId="0" borderId="1" xfId="0" applyNumberFormat="1" applyFont="1" applyBorder="1" applyProtection="1">
      <protection locked="0"/>
    </xf>
    <xf numFmtId="41" fontId="5" fillId="0" borderId="0" xfId="0" applyNumberFormat="1" applyFont="1" applyProtection="1">
      <protection locked="0"/>
    </xf>
    <xf numFmtId="2" fontId="5" fillId="0" borderId="0" xfId="0" applyNumberFormat="1" applyFont="1" applyProtection="1">
      <protection locked="0"/>
    </xf>
    <xf numFmtId="169" fontId="5" fillId="0" borderId="0" xfId="1" applyNumberFormat="1" applyFont="1" applyFill="1" applyProtection="1">
      <protection locked="0"/>
    </xf>
    <xf numFmtId="169" fontId="5" fillId="0" borderId="1" xfId="1" applyNumberFormat="1" applyFont="1" applyFill="1" applyBorder="1" applyProtection="1">
      <protection locked="0"/>
    </xf>
    <xf numFmtId="169" fontId="5" fillId="0" borderId="1" xfId="1" applyNumberFormat="1" applyFont="1" applyBorder="1" applyProtection="1">
      <protection locked="0"/>
    </xf>
    <xf numFmtId="0" fontId="5" fillId="0" borderId="0" xfId="0" applyFont="1" applyAlignment="1" applyProtection="1">
      <alignment horizontal="left"/>
      <protection locked="0"/>
    </xf>
    <xf numFmtId="169" fontId="5" fillId="0" borderId="0" xfId="1" applyNumberFormat="1" applyFont="1" applyProtection="1">
      <protection locked="0"/>
    </xf>
    <xf numFmtId="3" fontId="6" fillId="0" borderId="0" xfId="0" applyNumberFormat="1" applyFont="1" applyProtection="1">
      <protection locked="0"/>
    </xf>
    <xf numFmtId="41" fontId="5" fillId="2" borderId="0" xfId="0" applyNumberFormat="1" applyFont="1" applyFill="1" applyProtection="1">
      <protection locked="0"/>
    </xf>
    <xf numFmtId="2" fontId="5" fillId="2" borderId="0" xfId="0" applyNumberFormat="1" applyFont="1" applyFill="1" applyProtection="1">
      <protection locked="0"/>
    </xf>
    <xf numFmtId="169" fontId="5" fillId="2" borderId="0" xfId="1" applyNumberFormat="1" applyFont="1" applyFill="1" applyProtection="1">
      <protection locked="0"/>
    </xf>
    <xf numFmtId="169" fontId="5" fillId="2" borderId="1" xfId="1" applyNumberFormat="1" applyFont="1" applyFill="1" applyBorder="1" applyProtection="1">
      <protection locked="0"/>
    </xf>
    <xf numFmtId="1" fontId="5" fillId="0" borderId="0" xfId="0" applyNumberFormat="1" applyFont="1" applyProtection="1">
      <protection locked="0"/>
    </xf>
    <xf numFmtId="169" fontId="5" fillId="0" borderId="0" xfId="1" applyNumberFormat="1" applyFont="1" applyBorder="1" applyProtection="1">
      <protection locked="0"/>
    </xf>
    <xf numFmtId="41" fontId="17" fillId="10" borderId="0" xfId="0" quotePrefix="1" applyNumberFormat="1" applyFont="1" applyFill="1" applyProtection="1">
      <protection locked="0"/>
    </xf>
    <xf numFmtId="0" fontId="50" fillId="0" borderId="0" xfId="0" applyFont="1" applyAlignment="1" applyProtection="1">
      <alignment horizontal="center"/>
      <protection locked="0"/>
    </xf>
    <xf numFmtId="41" fontId="5" fillId="0" borderId="0" xfId="0" applyNumberFormat="1" applyFont="1" applyAlignment="1" applyProtection="1">
      <alignment horizontal="right"/>
      <protection locked="0"/>
    </xf>
    <xf numFmtId="0" fontId="5" fillId="0" borderId="0" xfId="0" applyFont="1" applyAlignment="1" applyProtection="1">
      <alignment horizontal="right"/>
      <protection locked="0"/>
    </xf>
    <xf numFmtId="3" fontId="5" fillId="4" borderId="15" xfId="0" applyNumberFormat="1" applyFont="1" applyFill="1" applyBorder="1" applyAlignment="1" applyProtection="1">
      <alignment horizontal="center"/>
      <protection locked="0"/>
    </xf>
    <xf numFmtId="3" fontId="8" fillId="0" borderId="0" xfId="0" applyNumberFormat="1" applyFont="1" applyAlignment="1" applyProtection="1">
      <alignment horizontal="center"/>
      <protection locked="0"/>
    </xf>
    <xf numFmtId="3" fontId="30" fillId="0" borderId="23" xfId="0" applyNumberFormat="1" applyFont="1" applyBorder="1" applyProtection="1">
      <protection locked="0"/>
    </xf>
    <xf numFmtId="3" fontId="30" fillId="0" borderId="23" xfId="0" applyNumberFormat="1" applyFont="1" applyBorder="1" applyAlignment="1" applyProtection="1">
      <alignment horizontal="right"/>
      <protection locked="0"/>
    </xf>
    <xf numFmtId="169" fontId="6" fillId="0" borderId="23" xfId="1" applyNumberFormat="1" applyFont="1" applyBorder="1" applyProtection="1">
      <protection locked="0"/>
    </xf>
    <xf numFmtId="169" fontId="6" fillId="0" borderId="21" xfId="1" applyNumberFormat="1" applyFont="1" applyBorder="1" applyProtection="1">
      <protection locked="0"/>
    </xf>
    <xf numFmtId="9" fontId="5" fillId="0" borderId="0" xfId="0" applyNumberFormat="1" applyFont="1" applyProtection="1">
      <protection locked="0"/>
    </xf>
    <xf numFmtId="3" fontId="5" fillId="0" borderId="0" xfId="0" applyNumberFormat="1" applyFont="1" applyAlignment="1" applyProtection="1">
      <alignment horizontal="left"/>
      <protection locked="0"/>
    </xf>
    <xf numFmtId="41" fontId="11" fillId="0" borderId="0" xfId="0" applyNumberFormat="1" applyFont="1" applyAlignment="1" applyProtection="1">
      <alignment horizontal="right"/>
      <protection locked="0"/>
    </xf>
    <xf numFmtId="169" fontId="5" fillId="0" borderId="0" xfId="1" applyNumberFormat="1" applyFont="1" applyFill="1" applyBorder="1" applyProtection="1">
      <protection locked="0"/>
    </xf>
    <xf numFmtId="41" fontId="5" fillId="10" borderId="0" xfId="0" applyNumberFormat="1" applyFont="1" applyFill="1" applyProtection="1">
      <protection locked="0"/>
    </xf>
    <xf numFmtId="169" fontId="5" fillId="10" borderId="0" xfId="1" applyNumberFormat="1" applyFont="1" applyFill="1" applyBorder="1" applyProtection="1">
      <protection locked="0"/>
    </xf>
    <xf numFmtId="3" fontId="5" fillId="0" borderId="0" xfId="0" applyNumberFormat="1" applyFont="1" applyAlignment="1" applyProtection="1">
      <alignment horizontal="right"/>
      <protection locked="0"/>
    </xf>
    <xf numFmtId="169" fontId="5" fillId="0" borderId="10" xfId="1" applyNumberFormat="1" applyFont="1" applyBorder="1" applyProtection="1">
      <protection locked="0"/>
    </xf>
    <xf numFmtId="169" fontId="5" fillId="0" borderId="27" xfId="1" applyNumberFormat="1" applyFont="1" applyBorder="1" applyProtection="1">
      <protection locked="0"/>
    </xf>
    <xf numFmtId="3" fontId="8" fillId="0" borderId="0" xfId="0" applyNumberFormat="1" applyFont="1" applyProtection="1">
      <protection locked="0"/>
    </xf>
    <xf numFmtId="41" fontId="6" fillId="0" borderId="23" xfId="0" applyNumberFormat="1" applyFont="1" applyBorder="1" applyProtection="1">
      <protection locked="0"/>
    </xf>
    <xf numFmtId="3" fontId="6" fillId="0" borderId="0" xfId="0" applyNumberFormat="1" applyFont="1" applyAlignment="1" applyProtection="1">
      <alignment horizontal="right"/>
      <protection locked="0"/>
    </xf>
    <xf numFmtId="9" fontId="6" fillId="0" borderId="0" xfId="0" applyNumberFormat="1" applyFont="1" applyProtection="1">
      <protection locked="0"/>
    </xf>
    <xf numFmtId="169" fontId="6" fillId="0" borderId="0" xfId="1" applyNumberFormat="1" applyFont="1" applyProtection="1">
      <protection locked="0"/>
    </xf>
    <xf numFmtId="3" fontId="6" fillId="5" borderId="0" xfId="0" applyNumberFormat="1" applyFont="1" applyFill="1" applyAlignment="1" applyProtection="1">
      <alignment horizontal="right"/>
      <protection locked="0"/>
    </xf>
    <xf numFmtId="3" fontId="6" fillId="5" borderId="0" xfId="0" applyNumberFormat="1" applyFont="1" applyFill="1" applyProtection="1">
      <protection locked="0"/>
    </xf>
    <xf numFmtId="169" fontId="6" fillId="5" borderId="0" xfId="1" applyNumberFormat="1" applyFont="1" applyFill="1" applyProtection="1">
      <protection locked="0"/>
    </xf>
    <xf numFmtId="169" fontId="6" fillId="5" borderId="1" xfId="1" applyNumberFormat="1" applyFont="1" applyFill="1" applyBorder="1" applyProtection="1">
      <protection locked="0"/>
    </xf>
    <xf numFmtId="169" fontId="6" fillId="0" borderId="0" xfId="1" applyNumberFormat="1" applyFont="1" applyFill="1" applyProtection="1">
      <protection locked="0"/>
    </xf>
    <xf numFmtId="169" fontId="6" fillId="0" borderId="1" xfId="1" applyNumberFormat="1" applyFont="1" applyFill="1" applyBorder="1" applyProtection="1">
      <protection locked="0"/>
    </xf>
    <xf numFmtId="3" fontId="6" fillId="0" borderId="0" xfId="0" applyNumberFormat="1" applyFont="1" applyAlignment="1" applyProtection="1">
      <alignment horizontal="left"/>
      <protection locked="0"/>
    </xf>
    <xf numFmtId="3" fontId="30" fillId="0" borderId="0" xfId="0" applyNumberFormat="1" applyFont="1" applyAlignment="1" applyProtection="1">
      <alignment horizontal="right"/>
      <protection locked="0"/>
    </xf>
    <xf numFmtId="169" fontId="6" fillId="0" borderId="14" xfId="1" applyNumberFormat="1" applyFont="1" applyBorder="1" applyProtection="1">
      <protection locked="0"/>
    </xf>
    <xf numFmtId="169" fontId="6" fillId="0" borderId="18" xfId="1" applyNumberFormat="1" applyFont="1" applyBorder="1" applyProtection="1">
      <protection locked="0"/>
    </xf>
    <xf numFmtId="169" fontId="6" fillId="0" borderId="19" xfId="1" applyNumberFormat="1" applyFont="1" applyBorder="1" applyProtection="1">
      <protection locked="0"/>
    </xf>
    <xf numFmtId="169" fontId="6" fillId="0" borderId="1" xfId="1" applyNumberFormat="1" applyFont="1" applyBorder="1" applyProtection="1">
      <protection locked="0"/>
    </xf>
    <xf numFmtId="3" fontId="8" fillId="0" borderId="0" xfId="0" applyNumberFormat="1" applyFont="1" applyAlignment="1" applyProtection="1">
      <alignment horizontal="left"/>
      <protection locked="0"/>
    </xf>
    <xf numFmtId="169" fontId="5" fillId="10" borderId="1" xfId="1" applyNumberFormat="1" applyFont="1" applyFill="1" applyBorder="1" applyProtection="1">
      <protection locked="0"/>
    </xf>
    <xf numFmtId="169" fontId="5" fillId="0" borderId="3" xfId="1" applyNumberFormat="1" applyFont="1" applyFill="1" applyBorder="1" applyProtection="1">
      <protection locked="0"/>
    </xf>
    <xf numFmtId="169" fontId="5" fillId="0" borderId="28" xfId="1" applyNumberFormat="1" applyFont="1" applyFill="1" applyBorder="1" applyProtection="1">
      <protection locked="0"/>
    </xf>
    <xf numFmtId="0" fontId="8" fillId="0" borderId="3" xfId="0" applyFont="1" applyBorder="1" applyProtection="1">
      <protection locked="0"/>
    </xf>
    <xf numFmtId="0" fontId="8" fillId="0" borderId="3" xfId="0" applyFont="1" applyBorder="1" applyAlignment="1" applyProtection="1">
      <alignment horizontal="right"/>
      <protection locked="0"/>
    </xf>
    <xf numFmtId="169" fontId="5" fillId="0" borderId="3" xfId="1" applyNumberFormat="1" applyFont="1" applyBorder="1" applyProtection="1">
      <protection locked="0"/>
    </xf>
    <xf numFmtId="169" fontId="6" fillId="0" borderId="28" xfId="1" applyNumberFormat="1" applyFont="1" applyBorder="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169" fontId="6" fillId="0" borderId="27" xfId="1" applyNumberFormat="1" applyFont="1" applyBorder="1" applyProtection="1">
      <protection locked="0"/>
    </xf>
    <xf numFmtId="0" fontId="8" fillId="10" borderId="0" xfId="0" applyFont="1" applyFill="1" applyProtection="1">
      <protection locked="0"/>
    </xf>
    <xf numFmtId="169" fontId="5" fillId="10" borderId="14" xfId="1" applyNumberFormat="1" applyFont="1" applyFill="1" applyBorder="1" applyProtection="1">
      <protection locked="0"/>
    </xf>
    <xf numFmtId="169" fontId="6" fillId="10" borderId="19" xfId="1" applyNumberFormat="1" applyFont="1" applyFill="1" applyBorder="1" applyProtection="1">
      <protection locked="0"/>
    </xf>
    <xf numFmtId="0" fontId="30" fillId="0" borderId="0" xfId="0" applyFont="1" applyAlignment="1" applyProtection="1">
      <alignment horizontal="right"/>
      <protection locked="0"/>
    </xf>
    <xf numFmtId="3" fontId="30" fillId="0" borderId="0" xfId="0" applyNumberFormat="1" applyFont="1" applyAlignment="1" applyProtection="1">
      <alignment horizontal="left"/>
      <protection locked="0"/>
    </xf>
    <xf numFmtId="3" fontId="30" fillId="0" borderId="0" xfId="0" applyNumberFormat="1" applyFont="1" applyProtection="1">
      <protection locked="0"/>
    </xf>
    <xf numFmtId="41" fontId="6" fillId="0" borderId="0" xfId="0" applyNumberFormat="1" applyFont="1" applyProtection="1">
      <protection locked="0"/>
    </xf>
    <xf numFmtId="41" fontId="6" fillId="0" borderId="1" xfId="0" applyNumberFormat="1" applyFont="1" applyBorder="1" applyProtection="1">
      <protection locked="0"/>
    </xf>
    <xf numFmtId="0" fontId="6" fillId="11" borderId="0" xfId="0" applyFont="1" applyFill="1" applyProtection="1">
      <protection locked="0"/>
    </xf>
    <xf numFmtId="3" fontId="5" fillId="11" borderId="0" xfId="0" applyNumberFormat="1" applyFont="1" applyFill="1" applyProtection="1">
      <protection locked="0"/>
    </xf>
    <xf numFmtId="164" fontId="5" fillId="11" borderId="0" xfId="0" applyNumberFormat="1" applyFont="1" applyFill="1" applyProtection="1">
      <protection locked="0"/>
    </xf>
    <xf numFmtId="0" fontId="5" fillId="11" borderId="0" xfId="0" applyFont="1" applyFill="1" applyProtection="1">
      <protection locked="0"/>
    </xf>
    <xf numFmtId="41" fontId="5" fillId="11" borderId="27" xfId="0" applyNumberFormat="1" applyFont="1" applyFill="1" applyBorder="1" applyProtection="1">
      <protection locked="0"/>
    </xf>
    <xf numFmtId="41" fontId="5" fillId="0" borderId="14" xfId="0" applyNumberFormat="1" applyFont="1" applyBorder="1" applyProtection="1">
      <protection locked="0"/>
    </xf>
    <xf numFmtId="41" fontId="6" fillId="0" borderId="14" xfId="0" applyNumberFormat="1" applyFont="1" applyBorder="1" applyProtection="1">
      <protection locked="0"/>
    </xf>
    <xf numFmtId="41" fontId="5" fillId="0" borderId="19" xfId="0" applyNumberFormat="1" applyFont="1" applyBorder="1" applyProtection="1">
      <protection locked="0"/>
    </xf>
    <xf numFmtId="3" fontId="6" fillId="14" borderId="0" xfId="0" applyNumberFormat="1" applyFont="1" applyFill="1" applyAlignment="1" applyProtection="1">
      <alignment horizontal="right"/>
      <protection locked="0"/>
    </xf>
    <xf numFmtId="3" fontId="5" fillId="14" borderId="0" xfId="0" applyNumberFormat="1" applyFont="1" applyFill="1" applyProtection="1">
      <protection locked="0"/>
    </xf>
    <xf numFmtId="0" fontId="5" fillId="14" borderId="0" xfId="0" applyFont="1" applyFill="1" applyProtection="1">
      <protection locked="0"/>
    </xf>
    <xf numFmtId="10" fontId="6" fillId="14" borderId="15" xfId="8" applyNumberFormat="1" applyFont="1" applyFill="1" applyBorder="1" applyProtection="1">
      <protection locked="0"/>
    </xf>
    <xf numFmtId="41" fontId="6" fillId="14" borderId="1" xfId="0" applyNumberFormat="1" applyFont="1" applyFill="1" applyBorder="1" applyProtection="1">
      <protection locked="0"/>
    </xf>
    <xf numFmtId="41" fontId="6" fillId="0" borderId="10" xfId="0" applyNumberFormat="1" applyFont="1" applyBorder="1" applyProtection="1">
      <protection locked="0"/>
    </xf>
    <xf numFmtId="41" fontId="6" fillId="0" borderId="27" xfId="0" applyNumberFormat="1" applyFont="1" applyBorder="1" applyProtection="1">
      <protection locked="0"/>
    </xf>
    <xf numFmtId="41" fontId="6" fillId="0" borderId="29" xfId="0" applyNumberFormat="1" applyFont="1" applyBorder="1" applyProtection="1">
      <protection locked="0"/>
    </xf>
    <xf numFmtId="41" fontId="6" fillId="0" borderId="30" xfId="0" applyNumberFormat="1" applyFont="1" applyBorder="1" applyProtection="1">
      <protection locked="0"/>
    </xf>
    <xf numFmtId="3" fontId="49" fillId="0" borderId="0" xfId="0" applyNumberFormat="1" applyFont="1" applyProtection="1">
      <protection locked="0"/>
    </xf>
    <xf numFmtId="3" fontId="49" fillId="0" borderId="31" xfId="0" applyNumberFormat="1" applyFont="1" applyBorder="1" applyProtection="1">
      <protection locked="0"/>
    </xf>
    <xf numFmtId="0" fontId="49" fillId="0" borderId="31" xfId="0" applyFont="1" applyBorder="1" applyProtection="1">
      <protection locked="0"/>
    </xf>
    <xf numFmtId="164" fontId="5" fillId="11" borderId="10" xfId="0" applyNumberFormat="1" applyFont="1" applyFill="1" applyBorder="1"/>
    <xf numFmtId="0" fontId="19" fillId="0" borderId="32" xfId="5" applyFont="1" applyBorder="1" applyAlignment="1">
      <alignment horizontal="center"/>
    </xf>
    <xf numFmtId="0" fontId="19" fillId="0" borderId="32" xfId="5" applyFont="1" applyBorder="1" applyAlignment="1">
      <alignment wrapText="1"/>
    </xf>
    <xf numFmtId="171" fontId="2" fillId="0" borderId="32" xfId="2" applyNumberFormat="1" applyFont="1" applyBorder="1"/>
    <xf numFmtId="0" fontId="5" fillId="0" borderId="0" xfId="8" applyNumberFormat="1" applyFont="1" applyAlignment="1">
      <alignment horizontal="right"/>
    </xf>
    <xf numFmtId="164" fontId="5" fillId="0" borderId="0" xfId="0" applyNumberFormat="1" applyFont="1"/>
    <xf numFmtId="164" fontId="5" fillId="0" borderId="14" xfId="0" applyNumberFormat="1" applyFont="1" applyBorder="1"/>
    <xf numFmtId="164" fontId="5" fillId="0" borderId="10" xfId="0" applyNumberFormat="1" applyFont="1" applyBorder="1"/>
    <xf numFmtId="165" fontId="5" fillId="0" borderId="0" xfId="0" applyNumberFormat="1" applyFont="1" applyProtection="1">
      <protection locked="0"/>
    </xf>
    <xf numFmtId="0" fontId="5" fillId="0" borderId="19" xfId="0" applyFont="1" applyBorder="1"/>
    <xf numFmtId="0" fontId="6" fillId="10" borderId="0" xfId="0" applyFont="1" applyFill="1" applyAlignment="1">
      <alignment horizontal="center"/>
    </xf>
    <xf numFmtId="0" fontId="5" fillId="10" borderId="0" xfId="0" applyFont="1" applyFill="1" applyAlignment="1">
      <alignment horizontal="center"/>
    </xf>
    <xf numFmtId="0" fontId="2" fillId="10" borderId="48" xfId="0" applyFont="1" applyFill="1" applyBorder="1" applyAlignment="1">
      <alignment vertical="center" wrapText="1"/>
    </xf>
    <xf numFmtId="42" fontId="43" fillId="0" borderId="0" xfId="0" applyNumberFormat="1" applyFont="1"/>
    <xf numFmtId="0" fontId="5" fillId="0" borderId="0" xfId="0" quotePrefix="1" applyFont="1"/>
    <xf numFmtId="0" fontId="30" fillId="0" borderId="1" xfId="0" applyFont="1" applyBorder="1"/>
    <xf numFmtId="0" fontId="51" fillId="10" borderId="15" xfId="0" applyFont="1" applyFill="1" applyBorder="1" applyAlignment="1">
      <alignment horizontal="left" vertical="top" wrapText="1"/>
    </xf>
    <xf numFmtId="164" fontId="5" fillId="0" borderId="0" xfId="8" applyNumberFormat="1" applyFont="1"/>
    <xf numFmtId="0" fontId="52" fillId="0" borderId="49" xfId="6" applyFont="1" applyBorder="1" applyAlignment="1">
      <alignment vertical="center" wrapText="1"/>
    </xf>
    <xf numFmtId="0" fontId="52" fillId="9" borderId="49" xfId="6" applyFont="1" applyFill="1" applyBorder="1" applyAlignment="1">
      <alignment vertical="center" wrapText="1"/>
    </xf>
    <xf numFmtId="166" fontId="5" fillId="0" borderId="3" xfId="0" applyNumberFormat="1" applyFont="1" applyBorder="1"/>
    <xf numFmtId="3" fontId="5" fillId="0" borderId="10" xfId="0" applyNumberFormat="1" applyFont="1" applyBorder="1" applyProtection="1">
      <protection locked="0"/>
    </xf>
    <xf numFmtId="3" fontId="5" fillId="0" borderId="10" xfId="0" applyNumberFormat="1" applyFont="1" applyBorder="1" applyAlignment="1" applyProtection="1">
      <alignment horizontal="right"/>
      <protection locked="0"/>
    </xf>
    <xf numFmtId="164" fontId="5" fillId="0" borderId="0" xfId="8" applyNumberFormat="1" applyFont="1" applyFill="1"/>
    <xf numFmtId="169" fontId="5" fillId="0" borderId="27" xfId="1" applyNumberFormat="1" applyFont="1" applyFill="1" applyBorder="1" applyProtection="1">
      <protection locked="0"/>
    </xf>
    <xf numFmtId="0" fontId="5" fillId="6" borderId="0" xfId="0" applyFont="1" applyFill="1" applyProtection="1">
      <protection locked="0"/>
    </xf>
    <xf numFmtId="0" fontId="49" fillId="6" borderId="0" xfId="0" applyFont="1" applyFill="1" applyProtection="1">
      <protection locked="0"/>
    </xf>
    <xf numFmtId="164" fontId="5" fillId="6" borderId="0" xfId="0" applyNumberFormat="1" applyFont="1" applyFill="1" applyProtection="1">
      <protection locked="0"/>
    </xf>
    <xf numFmtId="9" fontId="53" fillId="0" borderId="0" xfId="0" applyNumberFormat="1" applyFont="1" applyProtection="1">
      <protection locked="0"/>
    </xf>
    <xf numFmtId="9" fontId="53" fillId="0" borderId="0" xfId="0" applyNumberFormat="1" applyFont="1" applyAlignment="1" applyProtection="1">
      <alignment horizontal="right"/>
      <protection locked="0"/>
    </xf>
    <xf numFmtId="41" fontId="10" fillId="0" borderId="0" xfId="0" applyNumberFormat="1" applyFont="1"/>
    <xf numFmtId="3" fontId="10" fillId="0" borderId="0" xfId="0" applyNumberFormat="1" applyFont="1"/>
    <xf numFmtId="3" fontId="10" fillId="0" borderId="0" xfId="0" applyNumberFormat="1" applyFont="1" applyAlignment="1">
      <alignment horizontal="left"/>
    </xf>
    <xf numFmtId="3" fontId="10" fillId="0" borderId="0" xfId="0" applyNumberFormat="1" applyFont="1" applyAlignment="1">
      <alignment horizontal="right"/>
    </xf>
    <xf numFmtId="3" fontId="32" fillId="0" borderId="0" xfId="0" applyNumberFormat="1" applyFont="1" applyAlignment="1">
      <alignment horizontal="left"/>
    </xf>
    <xf numFmtId="3" fontId="31" fillId="0" borderId="0" xfId="0" applyNumberFormat="1" applyFont="1"/>
    <xf numFmtId="0" fontId="31" fillId="10" borderId="0" xfId="0" applyFont="1" applyFill="1" applyAlignment="1">
      <alignment horizontal="center"/>
    </xf>
    <xf numFmtId="0" fontId="31" fillId="10" borderId="0" xfId="0" applyFont="1" applyFill="1" applyAlignment="1">
      <alignment horizontal="left"/>
    </xf>
    <xf numFmtId="0" fontId="31" fillId="0" borderId="0" xfId="0" applyFont="1"/>
    <xf numFmtId="0" fontId="10" fillId="0" borderId="0" xfId="0" applyFont="1" applyAlignment="1">
      <alignment horizontal="center"/>
    </xf>
    <xf numFmtId="14" fontId="31" fillId="10" borderId="0" xfId="0" applyNumberFormat="1" applyFont="1" applyFill="1"/>
    <xf numFmtId="41" fontId="10" fillId="10" borderId="33" xfId="0" applyNumberFormat="1" applyFont="1" applyFill="1" applyBorder="1"/>
    <xf numFmtId="3" fontId="10" fillId="0" borderId="14" xfId="0" applyNumberFormat="1" applyFont="1" applyBorder="1"/>
    <xf numFmtId="0" fontId="5" fillId="0" borderId="0" xfId="0" applyFont="1" applyAlignment="1">
      <alignment horizontal="right"/>
    </xf>
    <xf numFmtId="169" fontId="5" fillId="0" borderId="0" xfId="0" applyNumberFormat="1" applyFont="1"/>
    <xf numFmtId="41" fontId="5" fillId="0" borderId="0" xfId="0" applyNumberFormat="1" applyFont="1" applyAlignment="1">
      <alignment horizontal="right"/>
    </xf>
    <xf numFmtId="0" fontId="5" fillId="10" borderId="0" xfId="0" applyFont="1" applyFill="1" applyAlignment="1">
      <alignment horizontal="left"/>
    </xf>
    <xf numFmtId="0" fontId="33" fillId="0" borderId="0" xfId="3" applyFont="1" applyAlignment="1" applyProtection="1"/>
    <xf numFmtId="0" fontId="54" fillId="9" borderId="50" xfId="6" applyFont="1" applyFill="1" applyBorder="1" applyAlignment="1">
      <alignment horizontal="center" vertical="center" wrapText="1"/>
    </xf>
    <xf numFmtId="10" fontId="52" fillId="9" borderId="51" xfId="8" applyNumberFormat="1" applyFont="1" applyFill="1" applyBorder="1" applyAlignment="1">
      <alignment horizontal="center" vertical="center" wrapText="1"/>
    </xf>
    <xf numFmtId="167" fontId="6" fillId="10" borderId="15" xfId="0" applyNumberFormat="1" applyFont="1" applyFill="1" applyBorder="1"/>
    <xf numFmtId="0" fontId="5" fillId="0" borderId="0" xfId="0" applyFont="1" applyAlignment="1">
      <alignment horizontal="left"/>
    </xf>
    <xf numFmtId="165" fontId="5" fillId="15" borderId="0" xfId="0" applyNumberFormat="1" applyFont="1" applyFill="1" applyProtection="1">
      <protection locked="0"/>
    </xf>
    <xf numFmtId="0" fontId="55" fillId="0" borderId="0" xfId="6" applyFont="1"/>
    <xf numFmtId="0" fontId="56" fillId="0" borderId="0" xfId="4" applyFont="1"/>
    <xf numFmtId="0" fontId="5" fillId="0" borderId="0" xfId="4" applyFont="1"/>
    <xf numFmtId="0" fontId="52" fillId="0" borderId="52" xfId="0" applyFont="1" applyBorder="1" applyAlignment="1">
      <alignment vertical="center" wrapText="1"/>
    </xf>
    <xf numFmtId="164" fontId="51" fillId="0" borderId="0" xfId="0" applyNumberFormat="1" applyFont="1"/>
    <xf numFmtId="0" fontId="54" fillId="9" borderId="53" xfId="6" applyFont="1" applyFill="1" applyBorder="1" applyAlignment="1">
      <alignment horizontal="center" vertical="center" wrapText="1"/>
    </xf>
    <xf numFmtId="0" fontId="54" fillId="9" borderId="54" xfId="6" applyFont="1" applyFill="1" applyBorder="1" applyAlignment="1">
      <alignment horizontal="center" vertical="center" wrapText="1"/>
    </xf>
    <xf numFmtId="10" fontId="52" fillId="9" borderId="53" xfId="8" applyNumberFormat="1" applyFont="1" applyFill="1" applyBorder="1" applyAlignment="1">
      <alignment horizontal="center" vertical="center" wrapText="1"/>
    </xf>
    <xf numFmtId="10" fontId="52" fillId="9" borderId="55" xfId="8" applyNumberFormat="1" applyFont="1" applyFill="1" applyBorder="1" applyAlignment="1">
      <alignment horizontal="center" vertical="center" wrapText="1"/>
    </xf>
    <xf numFmtId="10" fontId="52" fillId="9" borderId="56" xfId="8" applyNumberFormat="1" applyFont="1" applyFill="1" applyBorder="1" applyAlignment="1">
      <alignment horizontal="center" vertical="center" wrapText="1"/>
    </xf>
    <xf numFmtId="0" fontId="5" fillId="0" borderId="0" xfId="4" applyFont="1" applyAlignment="1">
      <alignment horizontal="center"/>
    </xf>
    <xf numFmtId="10" fontId="51" fillId="0" borderId="0" xfId="8" quotePrefix="1" applyNumberFormat="1" applyFont="1" applyFill="1" applyBorder="1"/>
    <xf numFmtId="10" fontId="51" fillId="0" borderId="0" xfId="8" applyNumberFormat="1" applyFont="1" applyFill="1" applyBorder="1"/>
    <xf numFmtId="164" fontId="5" fillId="0" borderId="0" xfId="0" applyNumberFormat="1" applyFont="1" applyAlignment="1">
      <alignment horizontal="center"/>
    </xf>
    <xf numFmtId="0" fontId="49" fillId="0" borderId="0" xfId="4" applyFont="1"/>
    <xf numFmtId="10" fontId="56" fillId="0" borderId="0" xfId="4" applyNumberFormat="1" applyFont="1"/>
    <xf numFmtId="164" fontId="5" fillId="0" borderId="0" xfId="4" applyNumberFormat="1" applyFont="1"/>
    <xf numFmtId="10" fontId="5" fillId="0" borderId="0" xfId="4" applyNumberFormat="1" applyFont="1"/>
    <xf numFmtId="0" fontId="6" fillId="0" borderId="0" xfId="4" applyFont="1"/>
    <xf numFmtId="164" fontId="6" fillId="0" borderId="0" xfId="0" applyNumberFormat="1" applyFont="1"/>
    <xf numFmtId="49" fontId="5" fillId="0" borderId="0" xfId="4" applyNumberFormat="1" applyFont="1"/>
    <xf numFmtId="164" fontId="5" fillId="0" borderId="0" xfId="8" applyNumberFormat="1" applyFont="1" applyFill="1" applyBorder="1"/>
    <xf numFmtId="0" fontId="3" fillId="9" borderId="0" xfId="3" applyFill="1" applyBorder="1" applyAlignment="1" applyProtection="1"/>
    <xf numFmtId="2" fontId="5" fillId="0" borderId="0" xfId="0" applyNumberFormat="1" applyFont="1"/>
    <xf numFmtId="0" fontId="54" fillId="0" borderId="50" xfId="6" applyFont="1" applyBorder="1" applyAlignment="1">
      <alignment horizontal="center" vertical="center" wrapText="1"/>
    </xf>
    <xf numFmtId="0" fontId="54" fillId="0" borderId="53" xfId="6" applyFont="1" applyBorder="1" applyAlignment="1">
      <alignment horizontal="center" vertical="center" wrapText="1"/>
    </xf>
    <xf numFmtId="0" fontId="54" fillId="0" borderId="57" xfId="6" applyFont="1" applyBorder="1" applyAlignment="1">
      <alignment horizontal="center" vertical="center" wrapText="1"/>
    </xf>
    <xf numFmtId="0" fontId="31" fillId="10" borderId="4" xfId="0" applyFont="1" applyFill="1" applyBorder="1"/>
    <xf numFmtId="0" fontId="31" fillId="0" borderId="5" xfId="0" applyFont="1" applyBorder="1"/>
    <xf numFmtId="0" fontId="31" fillId="0" borderId="4" xfId="0" applyFont="1" applyBorder="1"/>
    <xf numFmtId="0" fontId="10" fillId="0" borderId="34" xfId="0" applyFont="1" applyBorder="1" applyAlignment="1">
      <alignment horizontal="center"/>
    </xf>
    <xf numFmtId="0" fontId="31" fillId="0" borderId="34" xfId="0" applyFont="1" applyBorder="1"/>
    <xf numFmtId="0" fontId="10" fillId="0" borderId="4" xfId="0" applyFont="1" applyBorder="1"/>
    <xf numFmtId="3" fontId="10" fillId="10" borderId="35" xfId="0" applyNumberFormat="1" applyFont="1" applyFill="1" applyBorder="1"/>
    <xf numFmtId="3" fontId="10" fillId="0" borderId="4" xfId="0" applyNumberFormat="1" applyFont="1" applyBorder="1" applyAlignment="1">
      <alignment horizontal="left"/>
    </xf>
    <xf numFmtId="3" fontId="10" fillId="10" borderId="34" xfId="0" applyNumberFormat="1" applyFont="1" applyFill="1" applyBorder="1"/>
    <xf numFmtId="3" fontId="10" fillId="0" borderId="4" xfId="0" applyNumberFormat="1" applyFont="1" applyBorder="1"/>
    <xf numFmtId="3" fontId="10" fillId="10" borderId="36" xfId="0" applyNumberFormat="1" applyFont="1" applyFill="1" applyBorder="1"/>
    <xf numFmtId="3" fontId="10" fillId="10" borderId="4" xfId="0" applyNumberFormat="1" applyFont="1" applyFill="1" applyBorder="1"/>
    <xf numFmtId="41" fontId="10" fillId="10" borderId="37" xfId="0" applyNumberFormat="1" applyFont="1" applyFill="1" applyBorder="1"/>
    <xf numFmtId="3" fontId="32" fillId="0" borderId="17" xfId="0" applyNumberFormat="1" applyFont="1" applyBorder="1" applyAlignment="1">
      <alignment horizontal="left"/>
    </xf>
    <xf numFmtId="3" fontId="31" fillId="0" borderId="6" xfId="0" applyNumberFormat="1" applyFont="1" applyBorder="1"/>
    <xf numFmtId="3" fontId="10" fillId="0" borderId="6" xfId="0" applyNumberFormat="1" applyFont="1" applyBorder="1"/>
    <xf numFmtId="3" fontId="31" fillId="0" borderId="9" xfId="0" applyNumberFormat="1" applyFont="1" applyBorder="1"/>
    <xf numFmtId="0" fontId="6" fillId="0" borderId="0" xfId="4" applyFont="1" applyAlignment="1">
      <alignment horizontal="center"/>
    </xf>
    <xf numFmtId="0" fontId="57" fillId="0" borderId="0" xfId="4" applyFont="1"/>
    <xf numFmtId="0" fontId="3" fillId="6" borderId="10" xfId="3" applyFill="1" applyBorder="1" applyAlignment="1" applyProtection="1"/>
    <xf numFmtId="14" fontId="37" fillId="16" borderId="38" xfId="0" quotePrefix="1" applyNumberFormat="1" applyFont="1" applyFill="1" applyBorder="1" applyAlignment="1">
      <alignment horizontal="center"/>
    </xf>
    <xf numFmtId="3" fontId="8" fillId="0" borderId="0" xfId="0" applyNumberFormat="1" applyFont="1" applyAlignment="1" applyProtection="1">
      <alignment horizontal="left" indent="3"/>
      <protection locked="0"/>
    </xf>
    <xf numFmtId="3" fontId="5" fillId="0" borderId="0" xfId="0" applyNumberFormat="1" applyFont="1" applyAlignment="1" applyProtection="1">
      <alignment horizontal="left" indent="3"/>
      <protection locked="0"/>
    </xf>
    <xf numFmtId="0" fontId="5" fillId="0" borderId="10" xfId="0" applyFont="1" applyBorder="1" applyProtection="1">
      <protection locked="0"/>
    </xf>
    <xf numFmtId="3" fontId="6" fillId="0" borderId="10" xfId="0" applyNumberFormat="1" applyFont="1" applyBorder="1" applyAlignment="1" applyProtection="1">
      <alignment horizontal="right"/>
      <protection locked="0"/>
    </xf>
    <xf numFmtId="169" fontId="6" fillId="0" borderId="10" xfId="1" applyNumberFormat="1" applyFont="1" applyBorder="1" applyProtection="1">
      <protection locked="0"/>
    </xf>
    <xf numFmtId="169" fontId="6" fillId="0" borderId="0" xfId="1" applyNumberFormat="1" applyFont="1" applyBorder="1" applyProtection="1">
      <protection locked="0"/>
    </xf>
    <xf numFmtId="3" fontId="5" fillId="10" borderId="0" xfId="0" applyNumberFormat="1" applyFont="1" applyFill="1" applyAlignment="1" applyProtection="1">
      <alignment horizontal="left"/>
      <protection locked="0"/>
    </xf>
    <xf numFmtId="3" fontId="8" fillId="10" borderId="0" xfId="0" applyNumberFormat="1" applyFont="1" applyFill="1" applyAlignment="1" applyProtection="1">
      <alignment horizontal="right"/>
      <protection locked="0"/>
    </xf>
    <xf numFmtId="3" fontId="5" fillId="0" borderId="3" xfId="0" applyNumberFormat="1" applyFont="1" applyBorder="1" applyAlignment="1" applyProtection="1">
      <alignment horizontal="left"/>
      <protection locked="0"/>
    </xf>
    <xf numFmtId="3" fontId="5" fillId="0" borderId="3" xfId="0" applyNumberFormat="1" applyFont="1" applyBorder="1" applyProtection="1">
      <protection locked="0"/>
    </xf>
    <xf numFmtId="3" fontId="38" fillId="0" borderId="0" xfId="0" applyNumberFormat="1" applyFont="1" applyAlignment="1" applyProtection="1">
      <alignment horizontal="right"/>
      <protection locked="0"/>
    </xf>
    <xf numFmtId="3" fontId="38" fillId="0" borderId="0" xfId="0" applyNumberFormat="1" applyFont="1" applyProtection="1">
      <protection locked="0"/>
    </xf>
    <xf numFmtId="3" fontId="6" fillId="14" borderId="0" xfId="0" applyNumberFormat="1" applyFont="1" applyFill="1" applyAlignment="1" applyProtection="1">
      <alignment horizontal="left"/>
      <protection locked="0"/>
    </xf>
    <xf numFmtId="0" fontId="52" fillId="8" borderId="49" xfId="6" applyFont="1" applyFill="1" applyBorder="1" applyAlignment="1">
      <alignment vertical="center" wrapText="1"/>
    </xf>
    <xf numFmtId="0" fontId="52" fillId="8" borderId="52" xfId="0" applyFont="1" applyFill="1" applyBorder="1" applyAlignment="1">
      <alignment vertical="center" wrapText="1"/>
    </xf>
    <xf numFmtId="167" fontId="5" fillId="11" borderId="2" xfId="0" applyNumberFormat="1" applyFont="1" applyFill="1" applyBorder="1"/>
    <xf numFmtId="167" fontId="5" fillId="11" borderId="3" xfId="0" applyNumberFormat="1" applyFont="1" applyFill="1" applyBorder="1"/>
    <xf numFmtId="166" fontId="5" fillId="11" borderId="8" xfId="0" applyNumberFormat="1" applyFont="1" applyFill="1" applyBorder="1"/>
    <xf numFmtId="167" fontId="5" fillId="11" borderId="17" xfId="0" applyNumberFormat="1" applyFont="1" applyFill="1" applyBorder="1"/>
    <xf numFmtId="167" fontId="5" fillId="11" borderId="6" xfId="0" applyNumberFormat="1" applyFont="1" applyFill="1" applyBorder="1"/>
    <xf numFmtId="166" fontId="5" fillId="11" borderId="9" xfId="0" applyNumberFormat="1" applyFont="1" applyFill="1" applyBorder="1"/>
    <xf numFmtId="0" fontId="5" fillId="10" borderId="58" xfId="0" applyFont="1" applyFill="1" applyBorder="1"/>
    <xf numFmtId="0" fontId="5" fillId="10" borderId="59" xfId="0" applyFont="1" applyFill="1" applyBorder="1" applyAlignment="1">
      <alignment horizontal="right"/>
    </xf>
    <xf numFmtId="0" fontId="5" fillId="10" borderId="60" xfId="0" applyFont="1" applyFill="1" applyBorder="1"/>
    <xf numFmtId="0" fontId="5" fillId="10" borderId="61" xfId="0" applyFont="1" applyFill="1" applyBorder="1" applyAlignment="1">
      <alignment horizontal="right"/>
    </xf>
    <xf numFmtId="0" fontId="5" fillId="10" borderId="62" xfId="0" applyFont="1" applyFill="1" applyBorder="1"/>
    <xf numFmtId="0" fontId="41" fillId="8" borderId="64" xfId="6" applyFont="1" applyFill="1" applyBorder="1" applyAlignment="1">
      <alignment wrapText="1"/>
    </xf>
    <xf numFmtId="0" fontId="36" fillId="0" borderId="0" xfId="6" applyFont="1" applyAlignment="1">
      <alignment horizontal="right"/>
    </xf>
    <xf numFmtId="10" fontId="41" fillId="8" borderId="65" xfId="8" applyNumberFormat="1" applyFont="1" applyFill="1" applyBorder="1" applyAlignment="1">
      <alignment horizontal="left"/>
    </xf>
    <xf numFmtId="0" fontId="54" fillId="14" borderId="7" xfId="6" applyFont="1" applyFill="1" applyBorder="1" applyAlignment="1">
      <alignment horizontal="center" vertical="center" wrapText="1"/>
    </xf>
    <xf numFmtId="0" fontId="54" fillId="14" borderId="52" xfId="6" applyFont="1" applyFill="1" applyBorder="1" applyAlignment="1">
      <alignment horizontal="center" vertical="center" wrapText="1"/>
    </xf>
    <xf numFmtId="164" fontId="52" fillId="14" borderId="50" xfId="6" applyNumberFormat="1" applyFont="1" applyFill="1" applyBorder="1" applyAlignment="1">
      <alignment horizontal="center" vertical="center" wrapText="1"/>
    </xf>
    <xf numFmtId="0" fontId="54" fillId="14" borderId="49" xfId="6" applyFont="1" applyFill="1" applyBorder="1" applyAlignment="1">
      <alignment horizontal="center" vertical="center" wrapText="1"/>
    </xf>
    <xf numFmtId="10" fontId="52" fillId="14" borderId="66" xfId="8" applyNumberFormat="1" applyFont="1" applyFill="1" applyBorder="1" applyAlignment="1">
      <alignment horizontal="center" vertical="center" wrapText="1"/>
    </xf>
    <xf numFmtId="0" fontId="59" fillId="0" borderId="0" xfId="4" applyFont="1"/>
    <xf numFmtId="14" fontId="34" fillId="0" borderId="0" xfId="0" applyNumberFormat="1" applyFont="1" applyAlignment="1">
      <alignment horizontal="center"/>
    </xf>
    <xf numFmtId="14" fontId="18" fillId="0" borderId="0" xfId="0" applyNumberFormat="1" applyFont="1" applyAlignment="1">
      <alignment horizontal="center"/>
    </xf>
    <xf numFmtId="0" fontId="54" fillId="0" borderId="5" xfId="6" applyFont="1" applyBorder="1" applyAlignment="1">
      <alignment horizontal="center" vertical="center" wrapText="1"/>
    </xf>
    <xf numFmtId="0" fontId="54" fillId="0" borderId="0" xfId="6" applyFont="1" applyAlignment="1">
      <alignment horizontal="center" vertical="center" wrapText="1"/>
    </xf>
    <xf numFmtId="0" fontId="54" fillId="0" borderId="1" xfId="6" applyFont="1" applyBorder="1" applyAlignment="1">
      <alignment horizontal="center" vertical="center" wrapText="1"/>
    </xf>
    <xf numFmtId="0" fontId="60" fillId="0" borderId="0" xfId="0" applyFont="1" applyAlignment="1">
      <alignment vertical="center"/>
    </xf>
    <xf numFmtId="0" fontId="31" fillId="0" borderId="0" xfId="0" applyFont="1" applyAlignment="1">
      <alignment vertical="center"/>
    </xf>
    <xf numFmtId="0" fontId="60" fillId="0" borderId="0" xfId="4" applyFont="1"/>
    <xf numFmtId="0" fontId="61" fillId="6" borderId="10" xfId="3" applyFont="1" applyFill="1" applyBorder="1" applyAlignment="1" applyProtection="1"/>
    <xf numFmtId="0" fontId="1" fillId="0" borderId="0" xfId="0" applyFont="1"/>
    <xf numFmtId="0" fontId="54" fillId="0" borderId="7" xfId="6" applyFont="1" applyBorder="1" applyAlignment="1">
      <alignment horizontal="center" vertical="center" wrapText="1"/>
    </xf>
    <xf numFmtId="0" fontId="54" fillId="0" borderId="52" xfId="6" applyFont="1" applyBorder="1" applyAlignment="1">
      <alignment horizontal="center" vertical="center" wrapText="1"/>
    </xf>
    <xf numFmtId="164" fontId="52" fillId="8" borderId="67" xfId="6" applyNumberFormat="1" applyFont="1" applyFill="1" applyBorder="1" applyAlignment="1">
      <alignment horizontal="center" vertical="center" wrapText="1"/>
    </xf>
    <xf numFmtId="164" fontId="52" fillId="8" borderId="68" xfId="6" applyNumberFormat="1" applyFont="1" applyFill="1" applyBorder="1" applyAlignment="1">
      <alignment horizontal="center" vertical="center" wrapText="1"/>
    </xf>
    <xf numFmtId="164" fontId="52" fillId="0" borderId="67" xfId="6" applyNumberFormat="1" applyFont="1" applyBorder="1" applyAlignment="1">
      <alignment horizontal="center" vertical="center" wrapText="1"/>
    </xf>
    <xf numFmtId="164" fontId="52" fillId="0" borderId="68" xfId="6" applyNumberFormat="1" applyFont="1" applyBorder="1" applyAlignment="1">
      <alignment horizontal="center" vertical="center" wrapText="1"/>
    </xf>
    <xf numFmtId="164" fontId="52" fillId="0" borderId="69" xfId="6" applyNumberFormat="1" applyFont="1" applyBorder="1" applyAlignment="1">
      <alignment horizontal="center" vertical="center" wrapText="1"/>
    </xf>
    <xf numFmtId="164" fontId="52" fillId="0" borderId="70" xfId="6" applyNumberFormat="1" applyFont="1" applyBorder="1" applyAlignment="1">
      <alignment horizontal="center" vertical="center" wrapText="1"/>
    </xf>
    <xf numFmtId="167" fontId="5" fillId="11" borderId="4" xfId="0" applyNumberFormat="1" applyFont="1" applyFill="1" applyBorder="1"/>
    <xf numFmtId="167" fontId="5" fillId="11" borderId="0" xfId="0" applyNumberFormat="1" applyFont="1" applyFill="1"/>
    <xf numFmtId="166" fontId="5" fillId="11" borderId="5" xfId="0" applyNumberFormat="1" applyFont="1" applyFill="1" applyBorder="1"/>
    <xf numFmtId="0" fontId="6" fillId="10" borderId="59" xfId="0" applyFont="1" applyFill="1" applyBorder="1" applyAlignment="1">
      <alignment horizontal="center"/>
    </xf>
    <xf numFmtId="0" fontId="5" fillId="10" borderId="63" xfId="0" applyFont="1" applyFill="1" applyBorder="1" applyAlignment="1">
      <alignment horizontal="right"/>
    </xf>
    <xf numFmtId="14" fontId="6" fillId="0" borderId="0" xfId="0" applyNumberFormat="1" applyFont="1"/>
    <xf numFmtId="164" fontId="52" fillId="17" borderId="49" xfId="0" applyNumberFormat="1" applyFont="1" applyFill="1" applyBorder="1" applyAlignment="1">
      <alignment horizontal="center" vertical="center" wrapText="1"/>
    </xf>
    <xf numFmtId="164" fontId="52" fillId="17" borderId="51" xfId="0" applyNumberFormat="1" applyFont="1" applyFill="1" applyBorder="1" applyAlignment="1">
      <alignment horizontal="center" vertical="center" wrapText="1"/>
    </xf>
    <xf numFmtId="1" fontId="58" fillId="10" borderId="63" xfId="0" applyNumberFormat="1" applyFont="1" applyFill="1" applyBorder="1"/>
    <xf numFmtId="1" fontId="5" fillId="10" borderId="63" xfId="0" applyNumberFormat="1" applyFont="1" applyFill="1" applyBorder="1"/>
    <xf numFmtId="2" fontId="5" fillId="6" borderId="0" xfId="0" applyNumberFormat="1" applyFont="1" applyFill="1" applyAlignment="1" applyProtection="1">
      <alignment horizontal="center"/>
      <protection locked="0"/>
    </xf>
    <xf numFmtId="0" fontId="62" fillId="0" borderId="39" xfId="0" applyFont="1" applyBorder="1" applyAlignment="1">
      <alignment horizontal="center" vertical="center" wrapText="1"/>
    </xf>
    <xf numFmtId="0" fontId="62" fillId="0" borderId="23" xfId="0" applyFont="1" applyBorder="1" applyAlignment="1">
      <alignment horizontal="center" vertical="center" wrapText="1"/>
    </xf>
    <xf numFmtId="0" fontId="62" fillId="0" borderId="40" xfId="0" applyFont="1" applyBorder="1" applyAlignment="1">
      <alignment horizontal="center" vertical="center" wrapText="1"/>
    </xf>
    <xf numFmtId="0" fontId="63" fillId="11" borderId="41" xfId="0" applyFont="1" applyFill="1" applyBorder="1" applyAlignment="1">
      <alignment horizontal="left" vertical="center" wrapText="1"/>
    </xf>
    <xf numFmtId="0" fontId="63" fillId="11" borderId="42" xfId="0" applyFont="1" applyFill="1" applyBorder="1" applyAlignment="1">
      <alignment horizontal="left" vertical="center" wrapText="1"/>
    </xf>
    <xf numFmtId="0" fontId="63" fillId="11" borderId="43" xfId="0" applyFont="1" applyFill="1" applyBorder="1" applyAlignment="1">
      <alignment horizontal="left" vertical="center" wrapText="1"/>
    </xf>
    <xf numFmtId="0" fontId="24" fillId="2" borderId="4" xfId="7" applyFont="1" applyFill="1" applyBorder="1" applyAlignment="1">
      <alignment horizontal="center"/>
    </xf>
    <xf numFmtId="0" fontId="24" fillId="2" borderId="0" xfId="7" applyFont="1" applyFill="1" applyAlignment="1">
      <alignment horizontal="center"/>
    </xf>
    <xf numFmtId="0" fontId="24" fillId="2" borderId="5" xfId="7" applyFont="1" applyFill="1" applyBorder="1" applyAlignment="1">
      <alignment horizontal="center"/>
    </xf>
    <xf numFmtId="0" fontId="24" fillId="2" borderId="11" xfId="7" applyFont="1" applyFill="1" applyBorder="1" applyAlignment="1">
      <alignment horizontal="center"/>
    </xf>
    <xf numFmtId="0" fontId="24" fillId="2" borderId="10" xfId="7" applyFont="1" applyFill="1" applyBorder="1" applyAlignment="1">
      <alignment horizontal="center"/>
    </xf>
    <xf numFmtId="0" fontId="24" fillId="2" borderId="12" xfId="7" applyFont="1" applyFill="1" applyBorder="1" applyAlignment="1">
      <alignment horizontal="center"/>
    </xf>
    <xf numFmtId="0" fontId="64" fillId="11" borderId="19" xfId="0" applyFont="1" applyFill="1" applyBorder="1" applyAlignment="1">
      <alignment horizontal="left"/>
    </xf>
    <xf numFmtId="0" fontId="64" fillId="11" borderId="14" xfId="0" applyFont="1" applyFill="1" applyBorder="1" applyAlignment="1">
      <alignment horizontal="left"/>
    </xf>
    <xf numFmtId="0" fontId="64" fillId="11" borderId="18" xfId="0" applyFont="1" applyFill="1" applyBorder="1" applyAlignment="1">
      <alignment horizontal="left"/>
    </xf>
    <xf numFmtId="0" fontId="6" fillId="9" borderId="1" xfId="0" applyFont="1" applyFill="1" applyBorder="1" applyAlignment="1">
      <alignment horizontal="left"/>
    </xf>
    <xf numFmtId="0" fontId="6" fillId="9" borderId="0" xfId="0" applyFont="1" applyFill="1" applyAlignment="1">
      <alignment horizontal="left"/>
    </xf>
    <xf numFmtId="0" fontId="6" fillId="6" borderId="27" xfId="0" applyFont="1" applyFill="1" applyBorder="1" applyAlignment="1">
      <alignment horizontal="right"/>
    </xf>
    <xf numFmtId="0" fontId="6" fillId="6" borderId="10" xfId="0" applyFont="1" applyFill="1" applyBorder="1" applyAlignment="1">
      <alignment horizontal="right"/>
    </xf>
    <xf numFmtId="0" fontId="54" fillId="0" borderId="7" xfId="6" applyFont="1" applyBorder="1" applyAlignment="1">
      <alignment horizontal="center" vertical="center"/>
    </xf>
    <xf numFmtId="0" fontId="54" fillId="0" borderId="52" xfId="6" applyFont="1" applyBorder="1" applyAlignment="1">
      <alignment horizontal="center" vertical="center"/>
    </xf>
    <xf numFmtId="0" fontId="55" fillId="0" borderId="0" xfId="6" applyFont="1" applyAlignment="1">
      <alignment horizontal="left" wrapText="1"/>
    </xf>
    <xf numFmtId="0" fontId="33" fillId="0" borderId="44" xfId="3" applyFont="1" applyBorder="1" applyAlignment="1" applyProtection="1">
      <alignment horizontal="center"/>
    </xf>
    <xf numFmtId="0" fontId="33" fillId="0" borderId="45" xfId="3" applyFont="1" applyBorder="1" applyAlignment="1" applyProtection="1">
      <alignment horizontal="center"/>
    </xf>
    <xf numFmtId="0" fontId="33" fillId="0" borderId="46" xfId="3" applyFont="1" applyBorder="1" applyAlignment="1" applyProtection="1">
      <alignment horizontal="center"/>
    </xf>
    <xf numFmtId="1" fontId="5" fillId="18" borderId="63" xfId="0" applyNumberFormat="1" applyFont="1" applyFill="1" applyBorder="1"/>
  </cellXfs>
  <cellStyles count="11">
    <cellStyle name="Comma" xfId="1" builtinId="3"/>
    <cellStyle name="Comma 2" xfId="2" xr:uid="{1313AA11-CB07-49AA-A77B-9EFC9566ED2F}"/>
    <cellStyle name="Hyperlink" xfId="3" builtinId="8"/>
    <cellStyle name="Normal" xfId="0" builtinId="0"/>
    <cellStyle name="Normal 2" xfId="4" xr:uid="{CB362267-6199-4E18-A094-884B0D462114}"/>
    <cellStyle name="Normal 3" xfId="5" xr:uid="{4C31F12C-81A9-4F09-BC4D-E642738E7166}"/>
    <cellStyle name="Normal 4" xfId="6" xr:uid="{BC20AAE6-316D-4F9D-90B7-33B92D86712E}"/>
    <cellStyle name="Normal_person_months_conversion_chart-4" xfId="7" xr:uid="{B487F81E-C14D-4BD2-B2BF-B397DFC288C0}"/>
    <cellStyle name="Percent" xfId="8" builtinId="5"/>
    <cellStyle name="Percent 2" xfId="9" xr:uid="{C3AF97BE-C946-4679-95FB-0194E53872FA}"/>
    <cellStyle name="Percent 6" xfId="10" xr:uid="{36F3AA85-4A7B-4473-B2DC-12EC77AB0AB3}"/>
  </cellStyles>
  <dxfs count="4">
    <dxf>
      <font>
        <color theme="1"/>
      </font>
    </dxf>
    <dxf>
      <font>
        <color theme="0" tint="-0.34998626667073579"/>
      </font>
    </dxf>
    <dxf>
      <font>
        <color theme="0" tint="-0.1499679555650502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grants.nih.gov/grants/guide/notice-files/NOT-HS-25-015.html" TargetMode="External"/><Relationship Id="rId1" Type="http://schemas.openxmlformats.org/officeDocument/2006/relationships/hyperlink" Target="https://research.uoregon.edu/apply/apply-external-funding/prepare/nih-salary-ca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brp.uoregon.edu/content/Estimated-Rates-Future-Years" TargetMode="External"/><Relationship Id="rId1" Type="http://schemas.openxmlformats.org/officeDocument/2006/relationships/hyperlink" Target="https://brp.uoregon.edu/content/Blended-OP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E7F01-3834-4E41-B895-94B42370247E}">
  <sheetPr>
    <tabColor rgb="FF008000"/>
    <pageSetUpPr fitToPage="1"/>
  </sheetPr>
  <dimension ref="A1:AK227"/>
  <sheetViews>
    <sheetView tabSelected="1" zoomScaleNormal="100" workbookViewId="0">
      <pane ySplit="4" topLeftCell="A5" activePane="bottomLeft" state="frozen"/>
      <selection pane="bottomLeft"/>
    </sheetView>
  </sheetViews>
  <sheetFormatPr defaultColWidth="8.85546875" defaultRowHeight="12.75" x14ac:dyDescent="0.2"/>
  <cols>
    <col min="1" max="1" width="4.28515625" style="1" customWidth="1"/>
    <col min="2" max="2" width="38.7109375" style="1" customWidth="1"/>
    <col min="3" max="3" width="41.5703125" style="1" customWidth="1"/>
    <col min="4" max="4" width="9.7109375" style="1" customWidth="1"/>
    <col min="5" max="5" width="7" style="1" customWidth="1"/>
    <col min="6" max="6" width="6.140625" style="1" bestFit="1" customWidth="1"/>
    <col min="7" max="9" width="6.7109375" style="1" customWidth="1"/>
    <col min="10" max="10" width="7.5703125" style="1" customWidth="1"/>
    <col min="11" max="15" width="9" style="1" bestFit="1" customWidth="1"/>
    <col min="16" max="16" width="14.140625" style="1" customWidth="1"/>
    <col min="17" max="17" width="17.140625" style="1" customWidth="1"/>
    <col min="18" max="18" width="9.85546875" style="1" customWidth="1"/>
    <col min="19" max="19" width="13" style="1" customWidth="1"/>
    <col min="20" max="20" width="15.5703125" style="1" customWidth="1"/>
    <col min="21" max="22" width="8.85546875" style="1"/>
    <col min="23" max="23" width="9" style="1" bestFit="1" customWidth="1"/>
    <col min="24" max="26" width="8.85546875" style="1"/>
    <col min="27" max="27" width="2.42578125" style="1" customWidth="1"/>
    <col min="28" max="28" width="4.5703125" style="1" customWidth="1"/>
    <col min="29" max="31" width="8.85546875" style="1"/>
    <col min="32" max="32" width="16.140625" style="1" customWidth="1"/>
    <col min="33" max="33" width="41.5703125" style="1" customWidth="1"/>
    <col min="34" max="34" width="3.85546875" style="1" customWidth="1"/>
    <col min="35" max="35" width="3.7109375" style="1" customWidth="1"/>
    <col min="36" max="36" width="42" style="1" customWidth="1"/>
    <col min="37" max="37" width="42.140625" style="1" customWidth="1"/>
    <col min="38" max="16384" width="8.85546875" style="1"/>
  </cols>
  <sheetData>
    <row r="1" spans="1:37" ht="20.25" x14ac:dyDescent="0.3">
      <c r="A1" s="163">
        <v>5</v>
      </c>
      <c r="B1" s="164" t="s">
        <v>94</v>
      </c>
      <c r="C1" s="164"/>
      <c r="D1" s="165"/>
      <c r="E1" s="165"/>
      <c r="F1" s="165"/>
      <c r="G1" s="165"/>
      <c r="H1" s="165"/>
      <c r="I1" s="165"/>
      <c r="J1" s="165"/>
      <c r="K1" s="165"/>
      <c r="L1" s="165"/>
      <c r="M1" s="165"/>
      <c r="N1" s="165"/>
      <c r="O1" s="165"/>
      <c r="P1" s="166"/>
    </row>
    <row r="2" spans="1:37" ht="13.5" customHeight="1" thickBot="1" x14ac:dyDescent="0.35">
      <c r="A2" s="167" t="s">
        <v>28</v>
      </c>
      <c r="B2" s="168" t="str">
        <f>IF(A1=1,"",IF(A1=2,"",IF(A1=3,"",IF(A1=4,"",IF(A1=5,"","ERROR Cell A1")))))</f>
        <v/>
      </c>
      <c r="C2" s="169"/>
      <c r="D2" s="170"/>
      <c r="E2" s="170"/>
      <c r="F2" s="170"/>
      <c r="G2" s="170"/>
      <c r="H2" s="170"/>
      <c r="I2" s="170"/>
      <c r="J2" s="170"/>
      <c r="K2" s="170"/>
      <c r="L2" s="170"/>
      <c r="M2" s="170"/>
      <c r="N2" s="170"/>
      <c r="O2" s="170"/>
      <c r="P2" s="171"/>
    </row>
    <row r="3" spans="1:37" ht="12.75" customHeight="1" thickBot="1" x14ac:dyDescent="0.25">
      <c r="A3" s="172"/>
      <c r="B3" s="173" t="s">
        <v>29</v>
      </c>
      <c r="C3" s="174"/>
      <c r="D3" s="302" t="s">
        <v>177</v>
      </c>
      <c r="E3" s="302"/>
      <c r="F3" s="302"/>
      <c r="G3" s="302"/>
      <c r="H3" s="302"/>
      <c r="I3" s="302"/>
      <c r="J3" s="302"/>
      <c r="K3" s="302"/>
      <c r="L3" s="302"/>
      <c r="M3" s="302"/>
      <c r="N3" s="302"/>
      <c r="O3" s="302"/>
      <c r="P3" s="301"/>
      <c r="Q3" s="12" t="s">
        <v>131</v>
      </c>
      <c r="S3" s="23"/>
    </row>
    <row r="4" spans="1:37" ht="13.5" thickBot="1" x14ac:dyDescent="0.25">
      <c r="A4" s="172"/>
      <c r="B4" s="175"/>
      <c r="C4" s="172"/>
      <c r="D4" s="176"/>
      <c r="E4" s="176"/>
      <c r="F4" s="176"/>
      <c r="G4" s="176"/>
      <c r="H4" s="176"/>
      <c r="I4" s="172"/>
      <c r="J4" s="172"/>
      <c r="K4" s="177" t="s">
        <v>1</v>
      </c>
      <c r="L4" s="177" t="s">
        <v>2</v>
      </c>
      <c r="M4" s="177" t="s">
        <v>3</v>
      </c>
      <c r="N4" s="177" t="s">
        <v>32</v>
      </c>
      <c r="O4" s="177" t="s">
        <v>33</v>
      </c>
      <c r="P4" s="178" t="s">
        <v>4</v>
      </c>
      <c r="Q4" s="376">
        <v>46279</v>
      </c>
      <c r="S4" s="4"/>
      <c r="T4" s="5"/>
      <c r="U4" s="5" t="str">
        <f>"AY "&amp;IF(MONTH(K5)&gt;3, MOD(YEAR(K5),100), MOD(YEAR(K5)-1,100))&amp;"-"&amp;IF(MONTH(K5)&gt;3, MOD(YEAR(K5)+1,100), MOD(YEAR(K5),100))</f>
        <v>AY 26-27</v>
      </c>
      <c r="V4" s="5" t="str">
        <f>"AY "&amp;IF(MONTH(K5)&gt;3, MOD(YEAR(K5)+1,100), MOD(YEAR(K5),100))&amp;"-"&amp;IF(MONTH(K5)&gt;3, MOD(YEAR(K5)+2,100), MOD(YEAR(K5)+1,100))</f>
        <v>AY 27-28</v>
      </c>
      <c r="W4" s="5" t="str">
        <f>"AY "&amp;IF(MONTH(K5)&gt;3, MOD(YEAR(K5)+2,100), MOD(YEAR(K5)+1,100))&amp;"-"&amp;IF(MONTH(K5)&gt;3, MOD(YEAR(K5)+3,100), MOD(YEAR(K5)+2,100))</f>
        <v>AY 28-29</v>
      </c>
      <c r="X4" s="5" t="str">
        <f>"AY "&amp;IF(MONTH(K5)&gt;3, MOD(YEAR(K5)+3,100), MOD(YEAR(K5)+2,100))&amp;"-"&amp;IF(MONTH(K5)&gt;3, MOD(YEAR(K5)+4,100), MOD(YEAR(K5)+3,100))</f>
        <v>AY 29-30</v>
      </c>
      <c r="Y4" s="5" t="str">
        <f>"AY "&amp;IF(MONTH(K5)&gt;3, MOD(YEAR(K5)+4,100), MOD(YEAR(K5)+3,100))&amp;"-"&amp;IF(MONTH(K5)&gt;3, MOD(YEAR(K5)+5,100), MOD(YEAR(K5)+4,100))</f>
        <v>AY 30-31</v>
      </c>
      <c r="Z4" s="17" t="str">
        <f>"AY "&amp;IF(MONTH(L5)&gt;3, MOD(YEAR(L5)+4,100), MOD(YEAR(L5)+3,100))&amp;"-"&amp;IF(MONTH(L5)&gt;3, MOD(YEAR(L5)+5,100), MOD(YEAR(L5)+4,100))</f>
        <v>AY 31-32</v>
      </c>
      <c r="AC4" s="91" t="s">
        <v>93</v>
      </c>
      <c r="AD4" s="89" t="s">
        <v>89</v>
      </c>
      <c r="AE4" s="90"/>
      <c r="AF4" s="146" t="s">
        <v>140</v>
      </c>
    </row>
    <row r="5" spans="1:37" x14ac:dyDescent="0.2">
      <c r="A5" s="172"/>
      <c r="B5" s="172" t="str">
        <f ca="1">IF(TODAY()-Q4&gt;240,"This Budget Template is more than 240 Days Old","")</f>
        <v/>
      </c>
      <c r="C5" s="172"/>
      <c r="D5" s="176"/>
      <c r="E5" s="176"/>
      <c r="F5" s="176"/>
      <c r="G5" s="176"/>
      <c r="H5" s="176"/>
      <c r="I5" s="172"/>
      <c r="J5" s="171" t="s">
        <v>56</v>
      </c>
      <c r="K5" s="328">
        <v>46204</v>
      </c>
      <c r="L5" s="179">
        <f>K6+1</f>
        <v>46569</v>
      </c>
      <c r="M5" s="179">
        <f>L6+1</f>
        <v>46935</v>
      </c>
      <c r="N5" s="179">
        <f>M6+1</f>
        <v>47300</v>
      </c>
      <c r="O5" s="179">
        <f>N6+1</f>
        <v>47665</v>
      </c>
      <c r="P5" s="180"/>
      <c r="Q5" s="92" t="s">
        <v>52</v>
      </c>
      <c r="S5" s="6"/>
      <c r="Z5" s="7"/>
      <c r="AC5" s="398"/>
      <c r="AD5" s="433" t="s">
        <v>88</v>
      </c>
      <c r="AE5" s="434" t="s">
        <v>276</v>
      </c>
      <c r="AF5" s="146" t="s">
        <v>140</v>
      </c>
      <c r="AG5" s="153" t="s">
        <v>147</v>
      </c>
      <c r="AH5" s="280">
        <v>0</v>
      </c>
      <c r="AJ5" s="292" t="s">
        <v>160</v>
      </c>
    </row>
    <row r="6" spans="1:37" x14ac:dyDescent="0.2">
      <c r="A6" s="172"/>
      <c r="B6" s="176" t="s">
        <v>239</v>
      </c>
      <c r="C6" s="176"/>
      <c r="D6" s="176" t="s">
        <v>28</v>
      </c>
      <c r="E6" s="176"/>
      <c r="F6" s="176"/>
      <c r="G6" s="176"/>
      <c r="H6" s="176"/>
      <c r="I6" s="172"/>
      <c r="J6" s="171" t="s">
        <v>57</v>
      </c>
      <c r="K6" s="179">
        <v>46568</v>
      </c>
      <c r="L6" s="179">
        <f>DATE(YEAR(K6)+1,MONTH(K6),DAY(K6))</f>
        <v>46934</v>
      </c>
      <c r="M6" s="179">
        <f>DATE(YEAR(L6)+1,MONTH(L6),DAY(L6))</f>
        <v>47299</v>
      </c>
      <c r="N6" s="179">
        <f>DATE(YEAR(M6)+1,MONTH(M6),DAY(M6))</f>
        <v>47664</v>
      </c>
      <c r="O6" s="179">
        <f>DATE(YEAR(N6)+1,MONTH(N6),DAY(N6))</f>
        <v>48029</v>
      </c>
      <c r="P6" s="180"/>
      <c r="Q6" s="92" t="s">
        <v>53</v>
      </c>
      <c r="S6" s="6" t="s">
        <v>157</v>
      </c>
      <c r="T6" s="1" t="s">
        <v>187</v>
      </c>
      <c r="U6" s="1">
        <f t="shared" ref="U6:U11" si="0">ROUND(AE6*POWER(AF6,RIGHT($U$4,2)-RIGHT($AE$5,2)),0)</f>
        <v>945</v>
      </c>
      <c r="V6" s="1">
        <f t="shared" ref="V6:V11" si="1">IF($R$8="N",U6,ROUND(U6*AF6,0))</f>
        <v>973</v>
      </c>
      <c r="W6" s="1">
        <f t="shared" ref="W6:W11" si="2">IF($R$8="N",V6,ROUND(V6*AF6,0))</f>
        <v>1002</v>
      </c>
      <c r="X6" s="1">
        <f t="shared" ref="X6:X11" si="3">IF($R$8="N",W6,ROUND(W6*AF6,0))</f>
        <v>1031</v>
      </c>
      <c r="Y6" s="1">
        <f t="shared" ref="Y6:Y11" si="4">IF($R$8="N",X6,ROUND(X6*AF6,0))</f>
        <v>1061</v>
      </c>
      <c r="Z6" s="7">
        <f t="shared" ref="Z6:Z11" si="5">IF($R$8="N",Y6,ROUND(Y6*AF6,0))</f>
        <v>1092</v>
      </c>
      <c r="AC6" s="398"/>
      <c r="AD6" s="399" t="s">
        <v>153</v>
      </c>
      <c r="AE6" s="438">
        <v>945</v>
      </c>
      <c r="AF6" s="326">
        <v>1.0294000000000001</v>
      </c>
      <c r="AG6" s="153" t="s">
        <v>141</v>
      </c>
      <c r="AH6" s="1">
        <v>3</v>
      </c>
      <c r="AJ6" s="1" t="s">
        <v>200</v>
      </c>
      <c r="AK6" s="292" t="s">
        <v>168</v>
      </c>
    </row>
    <row r="7" spans="1:37" x14ac:dyDescent="0.2">
      <c r="A7" s="172"/>
      <c r="B7" s="176" t="s">
        <v>8</v>
      </c>
      <c r="C7" s="176"/>
      <c r="D7" s="176"/>
      <c r="E7" s="176"/>
      <c r="F7" s="176"/>
      <c r="G7" s="176"/>
      <c r="H7" s="176"/>
      <c r="I7" s="172"/>
      <c r="J7" s="172"/>
      <c r="K7" s="284"/>
      <c r="L7" s="284"/>
      <c r="M7" s="284"/>
      <c r="N7" s="284"/>
      <c r="O7" s="284"/>
      <c r="P7" s="180"/>
      <c r="Q7" s="92" t="s">
        <v>54</v>
      </c>
      <c r="S7" s="6" t="s">
        <v>158</v>
      </c>
      <c r="T7" s="1" t="s">
        <v>187</v>
      </c>
      <c r="U7" s="1">
        <f>ROUND(AE7*POWER(AF7,RIGHT($U$4,2)-RIGHT($AE$5,2)),0)</f>
        <v>799</v>
      </c>
      <c r="V7" s="1">
        <f t="shared" si="1"/>
        <v>823</v>
      </c>
      <c r="W7" s="1">
        <f t="shared" si="2"/>
        <v>848</v>
      </c>
      <c r="X7" s="1">
        <f t="shared" si="3"/>
        <v>873</v>
      </c>
      <c r="Y7" s="1">
        <f t="shared" si="4"/>
        <v>899</v>
      </c>
      <c r="Z7" s="7">
        <f t="shared" si="5"/>
        <v>926</v>
      </c>
      <c r="AC7" s="398"/>
      <c r="AD7" s="399" t="s">
        <v>154</v>
      </c>
      <c r="AE7" s="438">
        <v>799.38</v>
      </c>
      <c r="AF7" s="326">
        <v>1.0298</v>
      </c>
      <c r="AG7" s="153" t="s">
        <v>142</v>
      </c>
      <c r="AH7" s="1">
        <v>4</v>
      </c>
      <c r="AJ7" s="1" t="s">
        <v>207</v>
      </c>
      <c r="AK7" s="292" t="s">
        <v>169</v>
      </c>
    </row>
    <row r="8" spans="1:37" x14ac:dyDescent="0.2">
      <c r="A8" s="172"/>
      <c r="B8" s="176" t="s">
        <v>0</v>
      </c>
      <c r="C8" s="176"/>
      <c r="D8" s="176"/>
      <c r="E8" s="176"/>
      <c r="F8" s="176"/>
      <c r="G8" s="176"/>
      <c r="H8" s="176"/>
      <c r="I8" s="172"/>
      <c r="J8" s="172"/>
      <c r="K8" s="172"/>
      <c r="L8" s="172"/>
      <c r="M8" s="172"/>
      <c r="N8" s="172"/>
      <c r="O8" s="172"/>
      <c r="P8" s="180"/>
      <c r="Q8" s="1" t="s">
        <v>133</v>
      </c>
      <c r="R8" s="22" t="s">
        <v>237</v>
      </c>
      <c r="S8" s="6" t="s">
        <v>157</v>
      </c>
      <c r="T8" s="1" t="s">
        <v>188</v>
      </c>
      <c r="U8" s="1">
        <f t="shared" si="0"/>
        <v>2775</v>
      </c>
      <c r="V8" s="1">
        <f t="shared" si="1"/>
        <v>2919</v>
      </c>
      <c r="W8" s="1">
        <f t="shared" si="2"/>
        <v>3071</v>
      </c>
      <c r="X8" s="1">
        <f t="shared" si="3"/>
        <v>3231</v>
      </c>
      <c r="Y8" s="1">
        <f t="shared" si="4"/>
        <v>3399</v>
      </c>
      <c r="Z8" s="7">
        <f t="shared" si="5"/>
        <v>3576</v>
      </c>
      <c r="AC8" s="398"/>
      <c r="AD8" s="399" t="s">
        <v>155</v>
      </c>
      <c r="AE8" s="466">
        <v>2775</v>
      </c>
      <c r="AF8" s="326">
        <v>1.052</v>
      </c>
      <c r="AG8" s="153" t="s">
        <v>143</v>
      </c>
      <c r="AH8" s="1">
        <v>5</v>
      </c>
      <c r="AJ8" s="1" t="s">
        <v>208</v>
      </c>
      <c r="AK8" s="292" t="s">
        <v>170</v>
      </c>
    </row>
    <row r="9" spans="1:37" ht="14.25" x14ac:dyDescent="0.2">
      <c r="A9" s="172"/>
      <c r="B9" s="181" t="s">
        <v>34</v>
      </c>
      <c r="C9" s="181"/>
      <c r="D9" s="176"/>
      <c r="E9" s="176"/>
      <c r="F9" s="176"/>
      <c r="G9" s="176"/>
      <c r="H9" s="176"/>
      <c r="I9" s="172"/>
      <c r="J9" s="172"/>
      <c r="K9" s="172"/>
      <c r="L9" s="172"/>
      <c r="M9" s="172"/>
      <c r="N9" s="172"/>
      <c r="O9" s="172"/>
      <c r="P9" s="180"/>
      <c r="Q9" s="1" t="s">
        <v>134</v>
      </c>
      <c r="R9" s="22" t="s">
        <v>237</v>
      </c>
      <c r="S9" s="6" t="s">
        <v>159</v>
      </c>
      <c r="T9" s="1" t="s">
        <v>188</v>
      </c>
      <c r="U9" s="1">
        <f t="shared" si="0"/>
        <v>2355</v>
      </c>
      <c r="V9" s="1">
        <f t="shared" si="1"/>
        <v>2532</v>
      </c>
      <c r="W9" s="1">
        <f t="shared" si="2"/>
        <v>2722</v>
      </c>
      <c r="X9" s="1">
        <f t="shared" si="3"/>
        <v>2926</v>
      </c>
      <c r="Y9" s="1">
        <f t="shared" si="4"/>
        <v>3145</v>
      </c>
      <c r="Z9" s="7">
        <f t="shared" si="5"/>
        <v>3381</v>
      </c>
      <c r="AC9" s="398"/>
      <c r="AD9" s="399" t="s">
        <v>156</v>
      </c>
      <c r="AE9" s="439">
        <v>2355</v>
      </c>
      <c r="AF9" s="326">
        <v>1.075</v>
      </c>
      <c r="AG9" s="288" t="s">
        <v>144</v>
      </c>
      <c r="AH9" s="1">
        <v>6</v>
      </c>
      <c r="AJ9" s="1" t="s">
        <v>164</v>
      </c>
      <c r="AK9" s="292" t="s">
        <v>171</v>
      </c>
    </row>
    <row r="10" spans="1:37" x14ac:dyDescent="0.2">
      <c r="A10" s="172"/>
      <c r="B10" s="176" t="s">
        <v>35</v>
      </c>
      <c r="C10" s="182"/>
      <c r="D10" s="182" t="s">
        <v>44</v>
      </c>
      <c r="E10" s="172" t="s">
        <v>38</v>
      </c>
      <c r="F10" s="172" t="s">
        <v>39</v>
      </c>
      <c r="G10" s="172" t="s">
        <v>40</v>
      </c>
      <c r="H10" s="172" t="s">
        <v>41</v>
      </c>
      <c r="I10" s="172" t="s">
        <v>42</v>
      </c>
      <c r="J10" s="172"/>
      <c r="K10" s="172"/>
      <c r="L10" s="172"/>
      <c r="M10" s="172"/>
      <c r="N10" s="172"/>
      <c r="O10" s="172"/>
      <c r="P10" s="180"/>
      <c r="S10" s="6" t="s">
        <v>27</v>
      </c>
      <c r="T10" s="1" t="s">
        <v>15</v>
      </c>
      <c r="U10" s="18">
        <f t="shared" si="0"/>
        <v>5841</v>
      </c>
      <c r="V10" s="1">
        <f t="shared" si="1"/>
        <v>5999</v>
      </c>
      <c r="W10" s="1">
        <f t="shared" si="2"/>
        <v>6161</v>
      </c>
      <c r="X10" s="1">
        <f t="shared" si="3"/>
        <v>6327</v>
      </c>
      <c r="Y10" s="1">
        <f t="shared" si="4"/>
        <v>6498</v>
      </c>
      <c r="Z10" s="7">
        <f t="shared" si="5"/>
        <v>6673</v>
      </c>
      <c r="AC10" s="398"/>
      <c r="AD10" s="399" t="s">
        <v>87</v>
      </c>
      <c r="AE10" s="438">
        <v>5841</v>
      </c>
      <c r="AF10" s="326">
        <v>1.0269999999999999</v>
      </c>
      <c r="AG10" s="153" t="s">
        <v>145</v>
      </c>
      <c r="AH10" s="1">
        <v>7</v>
      </c>
      <c r="AJ10" s="1" t="s">
        <v>165</v>
      </c>
      <c r="AK10" s="292" t="s">
        <v>172</v>
      </c>
    </row>
    <row r="11" spans="1:37" x14ac:dyDescent="0.2">
      <c r="A11" s="172"/>
      <c r="B11" s="176" t="s">
        <v>37</v>
      </c>
      <c r="C11" s="286" t="s">
        <v>152</v>
      </c>
      <c r="D11" s="183" t="s">
        <v>43</v>
      </c>
      <c r="E11" s="184" t="s">
        <v>238</v>
      </c>
      <c r="F11" s="184" t="s">
        <v>238</v>
      </c>
      <c r="G11" s="184" t="s">
        <v>238</v>
      </c>
      <c r="H11" s="184" t="s">
        <v>238</v>
      </c>
      <c r="I11" s="184" t="s">
        <v>238</v>
      </c>
      <c r="J11" s="184"/>
      <c r="K11" s="185"/>
      <c r="L11" s="185"/>
      <c r="M11" s="185"/>
      <c r="N11" s="185"/>
      <c r="O11" s="185"/>
      <c r="P11" s="186"/>
      <c r="Q11" s="1" t="s">
        <v>28</v>
      </c>
      <c r="S11" s="6" t="s">
        <v>48</v>
      </c>
      <c r="T11" s="1" t="s">
        <v>15</v>
      </c>
      <c r="U11" s="18">
        <f t="shared" si="0"/>
        <v>10863</v>
      </c>
      <c r="V11" s="1">
        <f t="shared" si="1"/>
        <v>11156</v>
      </c>
      <c r="W11" s="1">
        <f t="shared" si="2"/>
        <v>11457</v>
      </c>
      <c r="X11" s="1">
        <f t="shared" si="3"/>
        <v>11766</v>
      </c>
      <c r="Y11" s="1">
        <f t="shared" si="4"/>
        <v>12084</v>
      </c>
      <c r="Z11" s="7">
        <f t="shared" si="5"/>
        <v>12410</v>
      </c>
      <c r="AC11" s="398"/>
      <c r="AD11" s="399" t="s">
        <v>86</v>
      </c>
      <c r="AE11" s="438">
        <v>10863</v>
      </c>
      <c r="AF11" s="326">
        <v>1.0269999999999999</v>
      </c>
      <c r="AG11" s="153" t="s">
        <v>146</v>
      </c>
      <c r="AH11" s="1">
        <v>8</v>
      </c>
      <c r="AJ11" s="1" t="s">
        <v>166</v>
      </c>
      <c r="AK11" s="292" t="s">
        <v>173</v>
      </c>
    </row>
    <row r="12" spans="1:37" ht="15" customHeight="1" thickBot="1" x14ac:dyDescent="0.25">
      <c r="A12" s="172"/>
      <c r="B12" s="185"/>
      <c r="C12" s="322" t="s">
        <v>160</v>
      </c>
      <c r="D12" s="187"/>
      <c r="E12" s="188"/>
      <c r="F12" s="188"/>
      <c r="G12" s="188"/>
      <c r="H12" s="188"/>
      <c r="I12" s="188"/>
      <c r="J12" s="188"/>
      <c r="K12" s="189">
        <f>ROUND(D12*E12,0)</f>
        <v>0</v>
      </c>
      <c r="L12" s="189">
        <f t="shared" ref="L12:L22" si="6">IF($A$1&gt;1,ROUND(D12*F12*$U$14,0),0)</f>
        <v>0</v>
      </c>
      <c r="M12" s="189">
        <f t="shared" ref="M12:M22" si="7">IF($A$1&gt;2,ROUND(D12*G12*$U$14^2,0),0)</f>
        <v>0</v>
      </c>
      <c r="N12" s="189">
        <f t="shared" ref="N12:N22" si="8">IF($A$1&gt;3,ROUND(D12*H12*$U$14^3,0),0)</f>
        <v>0</v>
      </c>
      <c r="O12" s="189">
        <f t="shared" ref="O12:O22" si="9">IF($A$1&gt;4,ROUND(D12*I12*$U$14^4,0),0)</f>
        <v>0</v>
      </c>
      <c r="P12" s="190">
        <f>SUM(K12:O12)</f>
        <v>0</v>
      </c>
      <c r="S12" s="6" t="s">
        <v>49</v>
      </c>
      <c r="T12" s="1" t="s">
        <v>15</v>
      </c>
      <c r="U12" s="1">
        <v>0</v>
      </c>
      <c r="V12" s="9">
        <f>ROUND(U12*AF12,0)</f>
        <v>0</v>
      </c>
      <c r="W12" s="9">
        <f>ROUND(V12*AF12,0)</f>
        <v>0</v>
      </c>
      <c r="X12" s="9">
        <f>ROUND(W12*AF12,0)</f>
        <v>0</v>
      </c>
      <c r="Y12" s="9">
        <f>ROUND(X12*AF12,0)</f>
        <v>0</v>
      </c>
      <c r="Z12" s="19">
        <f>ROUND(Y12*AF12,0)</f>
        <v>0</v>
      </c>
      <c r="AC12" s="400"/>
      <c r="AD12" s="401" t="s">
        <v>15</v>
      </c>
      <c r="AE12" s="402">
        <v>0</v>
      </c>
      <c r="AF12" s="326">
        <v>1.0269999999999999</v>
      </c>
      <c r="AJ12" s="1" t="s">
        <v>211</v>
      </c>
      <c r="AK12" s="292" t="s">
        <v>211</v>
      </c>
    </row>
    <row r="13" spans="1:37" x14ac:dyDescent="0.2">
      <c r="A13" s="172"/>
      <c r="B13" s="185"/>
      <c r="C13" s="322" t="s">
        <v>160</v>
      </c>
      <c r="D13" s="187"/>
      <c r="E13" s="188"/>
      <c r="F13" s="188"/>
      <c r="G13" s="188"/>
      <c r="H13" s="188"/>
      <c r="I13" s="188"/>
      <c r="J13" s="188"/>
      <c r="K13" s="189">
        <f t="shared" ref="K13:K22" si="10">ROUND(D13*E13,0)</f>
        <v>0</v>
      </c>
      <c r="L13" s="189">
        <f t="shared" si="6"/>
        <v>0</v>
      </c>
      <c r="M13" s="189">
        <f t="shared" si="7"/>
        <v>0</v>
      </c>
      <c r="N13" s="189">
        <f t="shared" si="8"/>
        <v>0</v>
      </c>
      <c r="O13" s="189">
        <f t="shared" si="9"/>
        <v>0</v>
      </c>
      <c r="P13" s="190">
        <f t="shared" ref="P13:P22" si="11">SUM(K13:O13)</f>
        <v>0</v>
      </c>
      <c r="Q13" s="88"/>
      <c r="S13" s="392" t="s">
        <v>189</v>
      </c>
      <c r="T13" s="393"/>
      <c r="U13" s="394">
        <f>IF($R$8="Y",1.04,1)</f>
        <v>1.04</v>
      </c>
      <c r="AJ13" s="1" t="s">
        <v>209</v>
      </c>
      <c r="AK13" s="292" t="s">
        <v>209</v>
      </c>
    </row>
    <row r="14" spans="1:37" x14ac:dyDescent="0.2">
      <c r="A14" s="172"/>
      <c r="B14" s="185"/>
      <c r="C14" s="322" t="s">
        <v>160</v>
      </c>
      <c r="D14" s="187"/>
      <c r="E14" s="188"/>
      <c r="F14" s="188"/>
      <c r="G14" s="188"/>
      <c r="H14" s="188"/>
      <c r="I14" s="188"/>
      <c r="J14" s="188"/>
      <c r="K14" s="189">
        <f t="shared" si="10"/>
        <v>0</v>
      </c>
      <c r="L14" s="189">
        <f t="shared" si="6"/>
        <v>0</v>
      </c>
      <c r="M14" s="189">
        <f t="shared" si="7"/>
        <v>0</v>
      </c>
      <c r="N14" s="189">
        <f t="shared" si="8"/>
        <v>0</v>
      </c>
      <c r="O14" s="189">
        <f t="shared" si="9"/>
        <v>0</v>
      </c>
      <c r="P14" s="190">
        <f t="shared" si="11"/>
        <v>0</v>
      </c>
      <c r="R14" s="1" t="s">
        <v>28</v>
      </c>
      <c r="S14" s="430" t="s">
        <v>81</v>
      </c>
      <c r="T14" s="431"/>
      <c r="U14" s="432">
        <f>IF($R$8="Y",1.03,1)</f>
        <v>1.03</v>
      </c>
      <c r="AE14"/>
      <c r="AJ14" s="1" t="s">
        <v>163</v>
      </c>
      <c r="AK14" s="292" t="s">
        <v>170</v>
      </c>
    </row>
    <row r="15" spans="1:37" ht="13.5" thickBot="1" x14ac:dyDescent="0.25">
      <c r="A15" s="172"/>
      <c r="B15" s="185"/>
      <c r="C15" s="322" t="s">
        <v>160</v>
      </c>
      <c r="D15" s="187"/>
      <c r="E15" s="188"/>
      <c r="F15" s="188"/>
      <c r="G15" s="188"/>
      <c r="H15" s="188"/>
      <c r="I15" s="188"/>
      <c r="J15" s="188"/>
      <c r="K15" s="189">
        <f t="shared" si="10"/>
        <v>0</v>
      </c>
      <c r="L15" s="189">
        <f t="shared" si="6"/>
        <v>0</v>
      </c>
      <c r="M15" s="189">
        <f t="shared" si="7"/>
        <v>0</v>
      </c>
      <c r="N15" s="189">
        <f t="shared" si="8"/>
        <v>0</v>
      </c>
      <c r="O15" s="189">
        <f t="shared" si="9"/>
        <v>0</v>
      </c>
      <c r="P15" s="191">
        <f t="shared" si="11"/>
        <v>0</v>
      </c>
      <c r="S15" s="395" t="s">
        <v>82</v>
      </c>
      <c r="T15" s="396"/>
      <c r="U15" s="397">
        <f>IF($R$9="Y",1.037,1)</f>
        <v>1.0369999999999999</v>
      </c>
      <c r="W15" s="1" t="s">
        <v>28</v>
      </c>
    </row>
    <row r="16" spans="1:37" x14ac:dyDescent="0.2">
      <c r="A16" s="172"/>
      <c r="B16" s="185"/>
      <c r="C16" s="322" t="s">
        <v>160</v>
      </c>
      <c r="D16" s="187"/>
      <c r="E16" s="188"/>
      <c r="F16" s="188"/>
      <c r="G16" s="188"/>
      <c r="H16" s="188"/>
      <c r="I16" s="188"/>
      <c r="J16" s="188"/>
      <c r="K16" s="189">
        <f t="shared" si="10"/>
        <v>0</v>
      </c>
      <c r="L16" s="189">
        <f t="shared" si="6"/>
        <v>0</v>
      </c>
      <c r="M16" s="189">
        <f t="shared" si="7"/>
        <v>0</v>
      </c>
      <c r="N16" s="189">
        <f t="shared" si="8"/>
        <v>0</v>
      </c>
      <c r="O16" s="189">
        <f t="shared" si="9"/>
        <v>0</v>
      </c>
      <c r="P16" s="191">
        <f t="shared" si="11"/>
        <v>0</v>
      </c>
      <c r="S16" s="23"/>
      <c r="T16" s="5"/>
      <c r="U16" s="296"/>
    </row>
    <row r="17" spans="1:34" x14ac:dyDescent="0.2">
      <c r="A17" s="172"/>
      <c r="B17" s="185"/>
      <c r="C17" s="322" t="s">
        <v>160</v>
      </c>
      <c r="D17" s="187"/>
      <c r="E17" s="188"/>
      <c r="F17" s="188"/>
      <c r="G17" s="188"/>
      <c r="H17" s="188"/>
      <c r="I17" s="188"/>
      <c r="J17" s="188"/>
      <c r="K17" s="189">
        <f t="shared" si="10"/>
        <v>0</v>
      </c>
      <c r="L17" s="189">
        <f t="shared" si="6"/>
        <v>0</v>
      </c>
      <c r="M17" s="189">
        <f t="shared" si="7"/>
        <v>0</v>
      </c>
      <c r="N17" s="189">
        <f t="shared" si="8"/>
        <v>0</v>
      </c>
      <c r="O17" s="189">
        <f t="shared" si="9"/>
        <v>0</v>
      </c>
      <c r="P17" s="191">
        <f t="shared" si="11"/>
        <v>0</v>
      </c>
      <c r="AH17" s="1" t="s">
        <v>28</v>
      </c>
    </row>
    <row r="18" spans="1:34" x14ac:dyDescent="0.2">
      <c r="A18" s="172"/>
      <c r="B18" s="185"/>
      <c r="C18" s="322" t="s">
        <v>160</v>
      </c>
      <c r="D18" s="187"/>
      <c r="E18" s="188"/>
      <c r="F18" s="188"/>
      <c r="G18" s="188"/>
      <c r="H18" s="188"/>
      <c r="I18" s="188"/>
      <c r="J18" s="188"/>
      <c r="K18" s="189">
        <f t="shared" si="10"/>
        <v>0</v>
      </c>
      <c r="L18" s="189">
        <f t="shared" si="6"/>
        <v>0</v>
      </c>
      <c r="M18" s="189">
        <f t="shared" si="7"/>
        <v>0</v>
      </c>
      <c r="N18" s="189">
        <f t="shared" si="8"/>
        <v>0</v>
      </c>
      <c r="O18" s="189">
        <f t="shared" si="9"/>
        <v>0</v>
      </c>
      <c r="P18" s="191">
        <f t="shared" si="11"/>
        <v>0</v>
      </c>
      <c r="S18" s="15"/>
      <c r="T18" s="421"/>
      <c r="U18" s="421"/>
    </row>
    <row r="19" spans="1:34" x14ac:dyDescent="0.2">
      <c r="A19" s="172"/>
      <c r="B19" s="185"/>
      <c r="C19" s="322" t="s">
        <v>160</v>
      </c>
      <c r="D19" s="187"/>
      <c r="E19" s="188"/>
      <c r="F19" s="188"/>
      <c r="G19" s="188"/>
      <c r="H19" s="188"/>
      <c r="I19" s="188"/>
      <c r="J19" s="188"/>
      <c r="K19" s="189">
        <f t="shared" si="10"/>
        <v>0</v>
      </c>
      <c r="L19" s="189">
        <f t="shared" si="6"/>
        <v>0</v>
      </c>
      <c r="M19" s="189">
        <f t="shared" si="7"/>
        <v>0</v>
      </c>
      <c r="N19" s="189">
        <f t="shared" si="8"/>
        <v>0</v>
      </c>
      <c r="O19" s="189">
        <f t="shared" si="9"/>
        <v>0</v>
      </c>
      <c r="P19" s="191">
        <f t="shared" si="11"/>
        <v>0</v>
      </c>
      <c r="S19" s="15"/>
      <c r="T19" s="435"/>
    </row>
    <row r="20" spans="1:34" x14ac:dyDescent="0.2">
      <c r="A20" s="172"/>
      <c r="B20" s="192"/>
      <c r="C20" s="322" t="s">
        <v>160</v>
      </c>
      <c r="D20" s="187"/>
      <c r="E20" s="188"/>
      <c r="F20" s="188"/>
      <c r="G20" s="188"/>
      <c r="H20" s="188"/>
      <c r="I20" s="188"/>
      <c r="J20" s="188"/>
      <c r="K20" s="189">
        <f t="shared" si="10"/>
        <v>0</v>
      </c>
      <c r="L20" s="189">
        <f t="shared" si="6"/>
        <v>0</v>
      </c>
      <c r="M20" s="189">
        <f t="shared" si="7"/>
        <v>0</v>
      </c>
      <c r="N20" s="189">
        <f t="shared" si="8"/>
        <v>0</v>
      </c>
      <c r="O20" s="189">
        <f t="shared" si="9"/>
        <v>0</v>
      </c>
      <c r="P20" s="191">
        <f t="shared" si="11"/>
        <v>0</v>
      </c>
    </row>
    <row r="21" spans="1:34" x14ac:dyDescent="0.2">
      <c r="A21" s="172"/>
      <c r="B21" s="192"/>
      <c r="C21" s="322" t="s">
        <v>160</v>
      </c>
      <c r="D21" s="187"/>
      <c r="E21" s="188"/>
      <c r="F21" s="188"/>
      <c r="G21" s="188"/>
      <c r="H21" s="188"/>
      <c r="I21" s="188"/>
      <c r="J21" s="188"/>
      <c r="K21" s="189">
        <f t="shared" si="10"/>
        <v>0</v>
      </c>
      <c r="L21" s="189">
        <f t="shared" si="6"/>
        <v>0</v>
      </c>
      <c r="M21" s="189">
        <f t="shared" si="7"/>
        <v>0</v>
      </c>
      <c r="N21" s="189">
        <f t="shared" si="8"/>
        <v>0</v>
      </c>
      <c r="O21" s="189">
        <f t="shared" si="9"/>
        <v>0</v>
      </c>
      <c r="P21" s="191">
        <f t="shared" si="11"/>
        <v>0</v>
      </c>
      <c r="V21" s="421"/>
    </row>
    <row r="22" spans="1:34" x14ac:dyDescent="0.2">
      <c r="A22" s="172"/>
      <c r="B22" s="192"/>
      <c r="C22" s="322" t="s">
        <v>160</v>
      </c>
      <c r="D22" s="187"/>
      <c r="E22" s="188"/>
      <c r="F22" s="188"/>
      <c r="G22" s="188"/>
      <c r="H22" s="188"/>
      <c r="I22" s="188"/>
      <c r="J22" s="188"/>
      <c r="K22" s="189">
        <f t="shared" si="10"/>
        <v>0</v>
      </c>
      <c r="L22" s="189">
        <f t="shared" si="6"/>
        <v>0</v>
      </c>
      <c r="M22" s="189">
        <f t="shared" si="7"/>
        <v>0</v>
      </c>
      <c r="N22" s="189">
        <f t="shared" si="8"/>
        <v>0</v>
      </c>
      <c r="O22" s="189">
        <f t="shared" si="9"/>
        <v>0</v>
      </c>
      <c r="P22" s="191">
        <f t="shared" si="11"/>
        <v>0</v>
      </c>
    </row>
    <row r="23" spans="1:34" ht="14.25" x14ac:dyDescent="0.2">
      <c r="A23" s="172"/>
      <c r="B23" s="181" t="s">
        <v>34</v>
      </c>
      <c r="C23" s="182"/>
      <c r="D23" s="182" t="s">
        <v>44</v>
      </c>
      <c r="E23" s="172" t="s">
        <v>38</v>
      </c>
      <c r="F23" s="172" t="s">
        <v>39</v>
      </c>
      <c r="G23" s="172" t="s">
        <v>40</v>
      </c>
      <c r="H23" s="172" t="s">
        <v>41</v>
      </c>
      <c r="I23" s="172" t="s">
        <v>42</v>
      </c>
      <c r="J23" s="172"/>
      <c r="K23" s="193"/>
      <c r="L23" s="193"/>
      <c r="M23" s="193"/>
      <c r="N23" s="193"/>
      <c r="O23" s="193"/>
      <c r="P23" s="191"/>
    </row>
    <row r="24" spans="1:34" x14ac:dyDescent="0.2">
      <c r="A24" s="172"/>
      <c r="B24" s="194" t="s">
        <v>36</v>
      </c>
      <c r="C24" s="286" t="s">
        <v>152</v>
      </c>
      <c r="D24" s="183" t="s">
        <v>43</v>
      </c>
      <c r="E24" s="184" t="s">
        <v>46</v>
      </c>
      <c r="F24" s="184" t="s">
        <v>46</v>
      </c>
      <c r="G24" s="184" t="s">
        <v>46</v>
      </c>
      <c r="H24" s="184" t="s">
        <v>46</v>
      </c>
      <c r="I24" s="184" t="s">
        <v>46</v>
      </c>
      <c r="J24" s="184"/>
      <c r="K24" s="193"/>
      <c r="L24" s="193"/>
      <c r="M24" s="193"/>
      <c r="N24" s="193"/>
      <c r="O24" s="193"/>
      <c r="P24" s="191"/>
      <c r="S24" s="15"/>
      <c r="T24" s="435"/>
    </row>
    <row r="25" spans="1:34" x14ac:dyDescent="0.2">
      <c r="A25" s="172"/>
      <c r="B25" s="187"/>
      <c r="C25" s="322" t="str">
        <f t="shared" ref="C25:C30" si="12">IF(B25="","","9 Month Faculty/Staff (SU)")</f>
        <v/>
      </c>
      <c r="D25" s="187"/>
      <c r="E25" s="188"/>
      <c r="F25" s="188"/>
      <c r="G25" s="188"/>
      <c r="H25" s="188"/>
      <c r="I25" s="188"/>
      <c r="J25" s="188"/>
      <c r="K25" s="189">
        <f t="shared" ref="K25:K30" si="13">ROUND(D25*E25,0)</f>
        <v>0</v>
      </c>
      <c r="L25" s="189">
        <f t="shared" ref="L25:L30" si="14">IF($A$1&gt;1,ROUND(D25*F25*$U$14,0),0)</f>
        <v>0</v>
      </c>
      <c r="M25" s="189">
        <f t="shared" ref="M25:M30" si="15">IF($A$1&gt;2,ROUND(D25*G25*$U$14^2,0),0)</f>
        <v>0</v>
      </c>
      <c r="N25" s="189">
        <f t="shared" ref="N25:N30" si="16">IF($A$1&gt;3,ROUND(D25*H25*$U$14^3,0),0)</f>
        <v>0</v>
      </c>
      <c r="O25" s="189">
        <f t="shared" ref="O25:O30" si="17">IF($A$1&gt;4,ROUND(D25*I25*$U$14^4,0),0)</f>
        <v>0</v>
      </c>
      <c r="P25" s="191">
        <f t="shared" ref="P25:P30" si="18">SUM(K25:O25)</f>
        <v>0</v>
      </c>
      <c r="S25" s="15"/>
      <c r="T25" s="15"/>
      <c r="U25" s="15"/>
      <c r="AE25" s="1" t="s">
        <v>28</v>
      </c>
    </row>
    <row r="26" spans="1:34" x14ac:dyDescent="0.2">
      <c r="A26" s="172"/>
      <c r="B26" s="187"/>
      <c r="C26" s="322" t="str">
        <f t="shared" si="12"/>
        <v/>
      </c>
      <c r="D26" s="187"/>
      <c r="E26" s="188"/>
      <c r="F26" s="188"/>
      <c r="G26" s="188"/>
      <c r="H26" s="188"/>
      <c r="I26" s="188"/>
      <c r="J26" s="188"/>
      <c r="K26" s="189">
        <f t="shared" si="13"/>
        <v>0</v>
      </c>
      <c r="L26" s="189">
        <f t="shared" si="14"/>
        <v>0</v>
      </c>
      <c r="M26" s="189">
        <f t="shared" si="15"/>
        <v>0</v>
      </c>
      <c r="N26" s="189">
        <f t="shared" si="16"/>
        <v>0</v>
      </c>
      <c r="O26" s="189">
        <f t="shared" si="17"/>
        <v>0</v>
      </c>
      <c r="P26" s="191">
        <f t="shared" si="18"/>
        <v>0</v>
      </c>
      <c r="T26" s="94"/>
    </row>
    <row r="27" spans="1:34" x14ac:dyDescent="0.2">
      <c r="A27" s="172"/>
      <c r="B27" s="187"/>
      <c r="C27" s="322" t="str">
        <f t="shared" si="12"/>
        <v/>
      </c>
      <c r="D27" s="187"/>
      <c r="E27" s="188"/>
      <c r="F27" s="188"/>
      <c r="G27" s="188"/>
      <c r="H27" s="188"/>
      <c r="I27" s="188"/>
      <c r="J27" s="188"/>
      <c r="K27" s="189">
        <f t="shared" si="13"/>
        <v>0</v>
      </c>
      <c r="L27" s="189">
        <f t="shared" si="14"/>
        <v>0</v>
      </c>
      <c r="M27" s="189">
        <f t="shared" si="15"/>
        <v>0</v>
      </c>
      <c r="N27" s="189">
        <f t="shared" si="16"/>
        <v>0</v>
      </c>
      <c r="O27" s="189">
        <f t="shared" si="17"/>
        <v>0</v>
      </c>
      <c r="P27" s="191">
        <f t="shared" si="18"/>
        <v>0</v>
      </c>
      <c r="T27" s="94"/>
    </row>
    <row r="28" spans="1:34" x14ac:dyDescent="0.2">
      <c r="A28" s="172"/>
      <c r="B28" s="187"/>
      <c r="C28" s="322" t="str">
        <f t="shared" si="12"/>
        <v/>
      </c>
      <c r="D28" s="187"/>
      <c r="E28" s="188"/>
      <c r="F28" s="188"/>
      <c r="G28" s="188"/>
      <c r="H28" s="188"/>
      <c r="I28" s="188"/>
      <c r="J28" s="188"/>
      <c r="K28" s="189">
        <f t="shared" si="13"/>
        <v>0</v>
      </c>
      <c r="L28" s="189">
        <f t="shared" si="14"/>
        <v>0</v>
      </c>
      <c r="M28" s="189">
        <f t="shared" si="15"/>
        <v>0</v>
      </c>
      <c r="N28" s="189">
        <f t="shared" si="16"/>
        <v>0</v>
      </c>
      <c r="O28" s="189">
        <f t="shared" si="17"/>
        <v>0</v>
      </c>
      <c r="P28" s="191">
        <f t="shared" si="18"/>
        <v>0</v>
      </c>
      <c r="V28" s="15"/>
    </row>
    <row r="29" spans="1:34" x14ac:dyDescent="0.2">
      <c r="A29" s="172"/>
      <c r="B29" s="187"/>
      <c r="C29" s="322" t="str">
        <f t="shared" si="12"/>
        <v/>
      </c>
      <c r="D29" s="187"/>
      <c r="E29" s="188"/>
      <c r="F29" s="188"/>
      <c r="G29" s="188"/>
      <c r="H29" s="188"/>
      <c r="I29" s="188"/>
      <c r="J29" s="188"/>
      <c r="K29" s="189">
        <f t="shared" si="13"/>
        <v>0</v>
      </c>
      <c r="L29" s="189">
        <f t="shared" si="14"/>
        <v>0</v>
      </c>
      <c r="M29" s="189">
        <f t="shared" si="15"/>
        <v>0</v>
      </c>
      <c r="N29" s="189">
        <f t="shared" si="16"/>
        <v>0</v>
      </c>
      <c r="O29" s="189">
        <f t="shared" si="17"/>
        <v>0</v>
      </c>
      <c r="P29" s="191">
        <f t="shared" si="18"/>
        <v>0</v>
      </c>
      <c r="T29" s="16"/>
    </row>
    <row r="30" spans="1:34" x14ac:dyDescent="0.2">
      <c r="A30" s="172"/>
      <c r="B30" s="187"/>
      <c r="C30" s="322" t="str">
        <f t="shared" si="12"/>
        <v/>
      </c>
      <c r="D30" s="187"/>
      <c r="E30" s="188"/>
      <c r="F30" s="188"/>
      <c r="G30" s="188"/>
      <c r="H30" s="188"/>
      <c r="I30" s="188"/>
      <c r="J30" s="188"/>
      <c r="K30" s="189">
        <f t="shared" si="13"/>
        <v>0</v>
      </c>
      <c r="L30" s="189">
        <f t="shared" si="14"/>
        <v>0</v>
      </c>
      <c r="M30" s="189">
        <f t="shared" si="15"/>
        <v>0</v>
      </c>
      <c r="N30" s="189">
        <f t="shared" si="16"/>
        <v>0</v>
      </c>
      <c r="O30" s="189">
        <f t="shared" si="17"/>
        <v>0</v>
      </c>
      <c r="P30" s="191">
        <f t="shared" si="18"/>
        <v>0</v>
      </c>
    </row>
    <row r="31" spans="1:34" x14ac:dyDescent="0.2">
      <c r="A31" s="172"/>
      <c r="B31" s="171"/>
      <c r="C31" s="286"/>
      <c r="D31" s="195"/>
      <c r="E31" s="195"/>
      <c r="F31" s="195"/>
      <c r="G31" s="195"/>
      <c r="H31" s="195"/>
      <c r="I31" s="196"/>
      <c r="J31" s="196"/>
      <c r="K31" s="197"/>
      <c r="L31" s="197"/>
      <c r="M31" s="197"/>
      <c r="N31" s="197"/>
      <c r="O31" s="197"/>
      <c r="P31" s="198"/>
      <c r="R31" s="11"/>
      <c r="T31" s="94"/>
    </row>
    <row r="32" spans="1:34" x14ac:dyDescent="0.2">
      <c r="A32" s="172"/>
      <c r="B32" s="185" t="s">
        <v>45</v>
      </c>
      <c r="C32" s="187"/>
      <c r="D32" s="187"/>
      <c r="E32" s="187"/>
      <c r="F32" s="187"/>
      <c r="G32" s="187"/>
      <c r="H32" s="187"/>
      <c r="I32" s="199"/>
      <c r="J32" s="199"/>
      <c r="K32" s="189">
        <v>0</v>
      </c>
      <c r="L32" s="189">
        <f>IF($A$1&gt;1,ROUND(K32*$U$14,0),0)</f>
        <v>0</v>
      </c>
      <c r="M32" s="189">
        <f>IF($A$1&gt;2,ROUND(L32*$U$14,0),0)</f>
        <v>0</v>
      </c>
      <c r="N32" s="189">
        <f>IF($A$1&gt;3,ROUND(M32*$U$14,0),0)</f>
        <v>0</v>
      </c>
      <c r="O32" s="189">
        <f>IF($A$1&gt;4,ROUND(N32*$U$14,0),0)</f>
        <v>0</v>
      </c>
      <c r="P32" s="191">
        <f>SUM(K32:O32)</f>
        <v>0</v>
      </c>
      <c r="T32" s="94"/>
    </row>
    <row r="33" spans="1:26" x14ac:dyDescent="0.2">
      <c r="A33" s="172"/>
      <c r="B33" s="185" t="s">
        <v>129</v>
      </c>
      <c r="C33" s="187"/>
      <c r="D33" s="187"/>
      <c r="E33" s="187"/>
      <c r="F33" s="187"/>
      <c r="G33" s="187"/>
      <c r="H33" s="187"/>
      <c r="I33" s="199"/>
      <c r="J33" s="199"/>
      <c r="K33" s="189">
        <v>0</v>
      </c>
      <c r="L33" s="189">
        <f>IF($A$1&gt;1,ROUND(K33*$U$14,0),0)</f>
        <v>0</v>
      </c>
      <c r="M33" s="189">
        <f>IF($A$1&gt;2,ROUND(L33*$U$14,0),0)</f>
        <v>0</v>
      </c>
      <c r="N33" s="189">
        <f>IF($A$1&gt;3,ROUND(M33*$U$14,0),0)</f>
        <v>0</v>
      </c>
      <c r="O33" s="189">
        <f>IF($A$1&gt;4,ROUND(N33*$U$14,0),0)</f>
        <v>0</v>
      </c>
      <c r="P33" s="191">
        <f>SUM(K33:O33)</f>
        <v>0</v>
      </c>
      <c r="S33" s="15"/>
      <c r="U33" s="15"/>
      <c r="V33" s="15"/>
      <c r="X33" s="16"/>
      <c r="Y33" s="16"/>
      <c r="Z33" s="16"/>
    </row>
    <row r="34" spans="1:26" x14ac:dyDescent="0.2">
      <c r="A34" s="172"/>
      <c r="B34" s="171"/>
      <c r="C34" s="171"/>
      <c r="D34" s="195"/>
      <c r="E34" s="195"/>
      <c r="F34" s="195"/>
      <c r="G34" s="195"/>
      <c r="H34" s="195"/>
      <c r="I34" s="196"/>
      <c r="J34" s="196"/>
      <c r="K34" s="197"/>
      <c r="L34" s="197"/>
      <c r="M34" s="197"/>
      <c r="N34" s="197"/>
      <c r="O34" s="197"/>
      <c r="P34" s="198"/>
      <c r="T34" s="94"/>
      <c r="X34" s="16"/>
      <c r="Y34" s="16"/>
      <c r="Z34" s="16"/>
    </row>
    <row r="35" spans="1:26" ht="14.25" x14ac:dyDescent="0.2">
      <c r="A35" s="172"/>
      <c r="B35" s="181" t="s">
        <v>190</v>
      </c>
      <c r="C35" s="182"/>
      <c r="D35" s="182" t="s">
        <v>44</v>
      </c>
      <c r="E35" s="172" t="s">
        <v>38</v>
      </c>
      <c r="F35" s="172" t="s">
        <v>39</v>
      </c>
      <c r="G35" s="172" t="s">
        <v>40</v>
      </c>
      <c r="H35" s="172" t="s">
        <v>41</v>
      </c>
      <c r="I35" s="172" t="s">
        <v>42</v>
      </c>
      <c r="J35" s="172"/>
      <c r="K35" s="189"/>
      <c r="L35" s="189"/>
      <c r="M35" s="189"/>
      <c r="N35" s="189"/>
      <c r="O35" s="189"/>
      <c r="P35" s="190"/>
      <c r="T35" s="94"/>
      <c r="V35" s="16"/>
      <c r="X35" s="16"/>
      <c r="Y35" s="16"/>
      <c r="Z35" s="16"/>
    </row>
    <row r="36" spans="1:26" x14ac:dyDescent="0.2">
      <c r="A36" s="172"/>
      <c r="B36" s="194" t="s">
        <v>191</v>
      </c>
      <c r="C36" s="187"/>
      <c r="D36" s="183" t="s">
        <v>55</v>
      </c>
      <c r="E36" s="184" t="s">
        <v>46</v>
      </c>
      <c r="F36" s="184" t="s">
        <v>46</v>
      </c>
      <c r="G36" s="184" t="s">
        <v>46</v>
      </c>
      <c r="H36" s="184" t="s">
        <v>46</v>
      </c>
      <c r="I36" s="184" t="s">
        <v>46</v>
      </c>
      <c r="J36" s="184"/>
      <c r="K36" s="189"/>
      <c r="L36" s="189"/>
      <c r="M36" s="189"/>
      <c r="N36" s="189"/>
      <c r="O36" s="189"/>
      <c r="P36" s="190"/>
      <c r="X36" s="16"/>
      <c r="Y36" s="16"/>
      <c r="Z36" s="16"/>
    </row>
    <row r="37" spans="1:26" x14ac:dyDescent="0.2">
      <c r="A37" s="172"/>
      <c r="B37" s="185" t="s">
        <v>192</v>
      </c>
      <c r="C37" s="187"/>
      <c r="D37" s="187"/>
      <c r="E37" s="188"/>
      <c r="F37" s="188"/>
      <c r="G37" s="188"/>
      <c r="H37" s="188"/>
      <c r="I37" s="188"/>
      <c r="J37" s="188"/>
      <c r="K37" s="200">
        <f>ROUND($D$37*E37*E39/3,0)</f>
        <v>0</v>
      </c>
      <c r="L37" s="200">
        <f>IF($A$1&gt;1,ROUND($U$13*$D$37*F37*F39/3,0),0)</f>
        <v>0</v>
      </c>
      <c r="M37" s="200">
        <f>IF($A$1&gt;2,ROUND($U$13^2*$D$37*G37*G39/3,0),0)</f>
        <v>0</v>
      </c>
      <c r="N37" s="200">
        <f>IF($A$1&gt;3,ROUND($U$13^3*$D$37*H37*H39/3,0),0)</f>
        <v>0</v>
      </c>
      <c r="O37" s="200">
        <f>IF($A$1&gt;4,ROUND($U$13^4*$D$37*I37*I39/3,0),0)</f>
        <v>0</v>
      </c>
      <c r="P37" s="191">
        <f>SUM(K37:O37)</f>
        <v>0</v>
      </c>
      <c r="T37" s="16"/>
      <c r="X37" s="16"/>
      <c r="Y37" s="16"/>
      <c r="Z37" s="16"/>
    </row>
    <row r="38" spans="1:26" x14ac:dyDescent="0.2">
      <c r="A38" s="172"/>
      <c r="B38" s="185" t="s">
        <v>193</v>
      </c>
      <c r="C38" s="187"/>
      <c r="D38" s="201" t="s">
        <v>51</v>
      </c>
      <c r="E38" s="188"/>
      <c r="F38" s="188"/>
      <c r="G38" s="188"/>
      <c r="H38" s="188"/>
      <c r="I38" s="188"/>
      <c r="J38" s="188"/>
      <c r="K38" s="200">
        <f>ROUND($D$37*E40*E38/3,0)</f>
        <v>0</v>
      </c>
      <c r="L38" s="200">
        <f>IF($A$1&gt;1,ROUND($U$13*$D$37*F40*F38/3,0),0)</f>
        <v>0</v>
      </c>
      <c r="M38" s="200">
        <f>IF($A$1&gt;2,ROUND($U$13^2*$D$37*G40*G38/3,0),0)</f>
        <v>0</v>
      </c>
      <c r="N38" s="200">
        <f>IF($A$1&gt;3,ROUND($U$13^3*$D$37*H40*H38/3,0),0)</f>
        <v>0</v>
      </c>
      <c r="O38" s="200">
        <f>IF($A$1&gt;4,ROUND($U$13^4*$D$37*I40*I38/3,0),0)</f>
        <v>0</v>
      </c>
      <c r="P38" s="191">
        <f>SUM(K38:O38)</f>
        <v>0</v>
      </c>
      <c r="V38" s="16"/>
      <c r="X38" s="16"/>
      <c r="Y38" s="16"/>
      <c r="Z38" s="16"/>
    </row>
    <row r="39" spans="1:26" ht="13.5" x14ac:dyDescent="0.25">
      <c r="A39" s="172"/>
      <c r="B39" s="202"/>
      <c r="C39" s="203"/>
      <c r="D39" s="204" t="s">
        <v>79</v>
      </c>
      <c r="E39" s="205"/>
      <c r="F39" s="205"/>
      <c r="G39" s="205"/>
      <c r="H39" s="205"/>
      <c r="I39" s="205"/>
      <c r="J39" s="183"/>
      <c r="K39" s="189"/>
      <c r="L39" s="189"/>
      <c r="M39" s="189"/>
      <c r="N39" s="189"/>
      <c r="O39" s="189"/>
      <c r="P39" s="190"/>
      <c r="V39" s="16"/>
      <c r="X39" s="16"/>
      <c r="Y39" s="16"/>
      <c r="Z39" s="16"/>
    </row>
    <row r="40" spans="1:26" x14ac:dyDescent="0.2">
      <c r="A40" s="172"/>
      <c r="B40" s="206"/>
      <c r="C40" s="203"/>
      <c r="D40" s="204" t="s">
        <v>80</v>
      </c>
      <c r="E40" s="205"/>
      <c r="F40" s="205"/>
      <c r="G40" s="205"/>
      <c r="H40" s="205"/>
      <c r="I40" s="205"/>
      <c r="J40" s="183"/>
      <c r="K40" s="189"/>
      <c r="L40" s="189"/>
      <c r="M40" s="189"/>
      <c r="N40" s="189"/>
      <c r="O40" s="189"/>
      <c r="P40" s="190"/>
      <c r="V40" s="16"/>
      <c r="X40" s="16"/>
      <c r="Y40" s="16"/>
      <c r="Z40" s="16"/>
    </row>
    <row r="41" spans="1:26" x14ac:dyDescent="0.2">
      <c r="A41" s="172"/>
      <c r="B41" s="171"/>
      <c r="C41" s="171"/>
      <c r="D41" s="195"/>
      <c r="E41" s="195"/>
      <c r="F41" s="195"/>
      <c r="G41" s="195"/>
      <c r="H41" s="195"/>
      <c r="I41" s="196"/>
      <c r="J41" s="196"/>
      <c r="K41" s="197"/>
      <c r="L41" s="197"/>
      <c r="M41" s="197"/>
      <c r="N41" s="197"/>
      <c r="O41" s="197"/>
      <c r="P41" s="198"/>
      <c r="V41" s="16"/>
      <c r="X41" s="16"/>
      <c r="Y41" s="16"/>
      <c r="Z41" s="16"/>
    </row>
    <row r="42" spans="1:26" ht="14.25" x14ac:dyDescent="0.2">
      <c r="A42" s="172"/>
      <c r="B42" s="181" t="s">
        <v>194</v>
      </c>
      <c r="C42" s="182"/>
      <c r="D42" s="182" t="s">
        <v>44</v>
      </c>
      <c r="E42" s="172" t="s">
        <v>38</v>
      </c>
      <c r="F42" s="172" t="s">
        <v>39</v>
      </c>
      <c r="G42" s="172" t="s">
        <v>40</v>
      </c>
      <c r="H42" s="172" t="s">
        <v>41</v>
      </c>
      <c r="I42" s="172" t="s">
        <v>42</v>
      </c>
      <c r="J42" s="172"/>
      <c r="K42" s="189"/>
      <c r="L42" s="189"/>
      <c r="M42" s="189"/>
      <c r="N42" s="189"/>
      <c r="O42" s="189"/>
      <c r="P42" s="190"/>
      <c r="V42" s="16"/>
      <c r="X42" s="16"/>
      <c r="Y42" s="16"/>
      <c r="Z42" s="16"/>
    </row>
    <row r="43" spans="1:26" x14ac:dyDescent="0.2">
      <c r="A43" s="172"/>
      <c r="B43" s="194" t="s">
        <v>191</v>
      </c>
      <c r="C43" s="187"/>
      <c r="D43" s="183" t="s">
        <v>55</v>
      </c>
      <c r="E43" s="184" t="s">
        <v>46</v>
      </c>
      <c r="F43" s="184" t="s">
        <v>46</v>
      </c>
      <c r="G43" s="184" t="s">
        <v>46</v>
      </c>
      <c r="H43" s="184" t="s">
        <v>46</v>
      </c>
      <c r="I43" s="184" t="s">
        <v>46</v>
      </c>
      <c r="J43" s="184"/>
      <c r="K43" s="200"/>
      <c r="L43" s="193"/>
      <c r="M43" s="193"/>
      <c r="N43" s="193"/>
      <c r="O43" s="193"/>
      <c r="P43" s="191"/>
      <c r="Q43" s="1" t="s">
        <v>28</v>
      </c>
      <c r="S43" s="352"/>
      <c r="T43" s="352"/>
      <c r="U43" s="352"/>
      <c r="V43" s="352"/>
      <c r="W43" s="352"/>
      <c r="X43" s="352"/>
      <c r="Y43" s="352"/>
      <c r="Z43" s="16"/>
    </row>
    <row r="44" spans="1:26" x14ac:dyDescent="0.2">
      <c r="A44" s="172"/>
      <c r="B44" s="185" t="s">
        <v>192</v>
      </c>
      <c r="C44" s="187"/>
      <c r="D44" s="187"/>
      <c r="E44" s="188"/>
      <c r="F44" s="188"/>
      <c r="G44" s="188"/>
      <c r="H44" s="188"/>
      <c r="I44" s="188"/>
      <c r="J44" s="188"/>
      <c r="K44" s="200">
        <f>ROUND($D$44*E44*E46/3,0)</f>
        <v>0</v>
      </c>
      <c r="L44" s="200">
        <f>IF($A$1&gt;1,ROUND($U$13*$D$44*F44*F46/3,0),0)</f>
        <v>0</v>
      </c>
      <c r="M44" s="200">
        <f>IF($A$1&gt;2,ROUND($U$13^2*$D$44*G44*G46/3,0),0)</f>
        <v>0</v>
      </c>
      <c r="N44" s="200">
        <f>IF($A$1&gt;3,ROUND($U$13^3*$D$44*H44*H46/3,0),0)</f>
        <v>0</v>
      </c>
      <c r="O44" s="200">
        <f>IF($A$1&gt;4,ROUND($U$13^4*$D$44*I44*I46/3,0),0)</f>
        <v>0</v>
      </c>
      <c r="P44" s="191">
        <f>SUM(K44:O44)</f>
        <v>0</v>
      </c>
      <c r="S44" s="352"/>
      <c r="T44" s="352"/>
      <c r="U44" s="352"/>
      <c r="V44" s="352"/>
      <c r="W44" s="352"/>
      <c r="X44" s="352"/>
      <c r="Y44" s="352"/>
    </row>
    <row r="45" spans="1:26" x14ac:dyDescent="0.2">
      <c r="A45" s="172"/>
      <c r="B45" s="185" t="s">
        <v>193</v>
      </c>
      <c r="C45" s="187"/>
      <c r="D45" s="201" t="s">
        <v>51</v>
      </c>
      <c r="E45" s="188"/>
      <c r="F45" s="188"/>
      <c r="G45" s="188"/>
      <c r="H45" s="188"/>
      <c r="I45" s="188"/>
      <c r="J45" s="188"/>
      <c r="K45" s="200">
        <f>ROUND($D$44*E47*E45/3,0)</f>
        <v>0</v>
      </c>
      <c r="L45" s="200">
        <f>IF($A$1&gt;1,ROUND($U$13*$D$44*F47*F45/3,0),0)</f>
        <v>0</v>
      </c>
      <c r="M45" s="200">
        <f>IF($A$1&gt;2,ROUND($U$13^2*$D$44*G47*G45/3,0),0)</f>
        <v>0</v>
      </c>
      <c r="N45" s="200">
        <f>IF($A$1&gt;3,ROUND($U$13^3*$D$44*H47*H45/3,0),0)</f>
        <v>0</v>
      </c>
      <c r="O45" s="200">
        <f>IF($A$1&gt;4,ROUND($U$13^4*$D$44*I47*I45/3,0),0)</f>
        <v>0</v>
      </c>
      <c r="P45" s="191">
        <f>SUM(K45:O45)</f>
        <v>0</v>
      </c>
      <c r="S45" s="352"/>
      <c r="T45" s="352"/>
      <c r="U45" s="352"/>
      <c r="V45" s="352"/>
      <c r="W45" s="352"/>
      <c r="X45" s="352"/>
      <c r="Y45" s="352"/>
    </row>
    <row r="46" spans="1:26" ht="13.5" x14ac:dyDescent="0.25">
      <c r="A46" s="172"/>
      <c r="B46" s="202"/>
      <c r="C46" s="203"/>
      <c r="D46" s="204" t="s">
        <v>79</v>
      </c>
      <c r="E46" s="205"/>
      <c r="F46" s="205"/>
      <c r="G46" s="205"/>
      <c r="H46" s="205"/>
      <c r="I46" s="205"/>
      <c r="J46" s="183"/>
      <c r="K46" s="200"/>
      <c r="L46" s="193"/>
      <c r="M46" s="193"/>
      <c r="N46" s="193"/>
      <c r="O46" s="193"/>
      <c r="P46" s="191"/>
      <c r="S46" s="352"/>
      <c r="T46" s="352"/>
      <c r="U46" s="352"/>
      <c r="V46" s="352"/>
      <c r="W46" s="352"/>
      <c r="X46" s="352"/>
      <c r="Y46" s="352"/>
    </row>
    <row r="47" spans="1:26" x14ac:dyDescent="0.2">
      <c r="A47" s="172"/>
      <c r="B47" s="206"/>
      <c r="C47" s="203"/>
      <c r="D47" s="204" t="s">
        <v>80</v>
      </c>
      <c r="E47" s="205"/>
      <c r="F47" s="205"/>
      <c r="G47" s="205"/>
      <c r="H47" s="205"/>
      <c r="I47" s="205"/>
      <c r="J47" s="183"/>
      <c r="K47" s="200"/>
      <c r="L47" s="193"/>
      <c r="M47" s="193"/>
      <c r="N47" s="193"/>
      <c r="O47" s="193"/>
      <c r="P47" s="191"/>
      <c r="S47" s="352"/>
      <c r="T47" s="352"/>
      <c r="U47" s="352"/>
      <c r="V47" s="352"/>
      <c r="W47" s="352"/>
      <c r="X47" s="352"/>
      <c r="Y47" s="352"/>
    </row>
    <row r="48" spans="1:26" ht="13.5" x14ac:dyDescent="0.25">
      <c r="A48" s="172"/>
      <c r="B48" s="207"/>
      <c r="C48" s="207"/>
      <c r="D48" s="208"/>
      <c r="E48" s="208"/>
      <c r="F48" s="208"/>
      <c r="G48" s="208"/>
      <c r="H48" s="208"/>
      <c r="I48" s="208"/>
      <c r="J48" s="208" t="s">
        <v>47</v>
      </c>
      <c r="K48" s="209">
        <f>SUM(K12:K47)</f>
        <v>0</v>
      </c>
      <c r="L48" s="209">
        <f>IF($A$1&gt;1,SUM(L12:L47),0)</f>
        <v>0</v>
      </c>
      <c r="M48" s="209">
        <f>IF($A$1&gt;2,SUM(M12:M47),0)</f>
        <v>0</v>
      </c>
      <c r="N48" s="209">
        <f>IF($A$1&gt;3,SUM(N12:N47),0)</f>
        <v>0</v>
      </c>
      <c r="O48" s="209">
        <f>IF($A$1&gt;4,SUM(O12:O47),0)</f>
        <v>0</v>
      </c>
      <c r="P48" s="210">
        <f>SUM(K48:O48)</f>
        <v>0</v>
      </c>
      <c r="Q48" s="13"/>
      <c r="S48" s="352"/>
      <c r="T48" s="352"/>
      <c r="U48" s="352"/>
      <c r="V48" s="352"/>
      <c r="W48" s="352"/>
      <c r="X48" s="352"/>
      <c r="Y48" s="352"/>
    </row>
    <row r="49" spans="1:25" ht="14.25" x14ac:dyDescent="0.2">
      <c r="A49" s="172"/>
      <c r="B49" s="181" t="s">
        <v>34</v>
      </c>
      <c r="C49" s="181"/>
      <c r="D49" s="187"/>
      <c r="E49" s="187"/>
      <c r="F49" s="187"/>
      <c r="G49" s="187"/>
      <c r="H49" s="187"/>
      <c r="I49" s="185"/>
      <c r="J49" s="185"/>
      <c r="K49" s="200"/>
      <c r="L49" s="200"/>
      <c r="M49" s="200"/>
      <c r="N49" s="200"/>
      <c r="O49" s="200"/>
      <c r="P49" s="191"/>
      <c r="S49" s="352"/>
      <c r="T49" s="352"/>
      <c r="U49" s="352"/>
      <c r="V49" s="352"/>
      <c r="W49" s="352"/>
      <c r="X49" s="352"/>
      <c r="Y49" s="352"/>
    </row>
    <row r="50" spans="1:25" ht="14.25" x14ac:dyDescent="0.2">
      <c r="A50" s="172"/>
      <c r="B50" s="181" t="s">
        <v>26</v>
      </c>
      <c r="C50" s="181"/>
      <c r="D50" s="187"/>
      <c r="E50" s="187"/>
      <c r="F50" s="187"/>
      <c r="G50" s="187"/>
      <c r="H50" s="187"/>
      <c r="I50" s="211"/>
      <c r="J50" s="211"/>
      <c r="K50" s="200"/>
      <c r="L50" s="200"/>
      <c r="M50" s="200"/>
      <c r="N50" s="200"/>
      <c r="O50" s="200"/>
      <c r="P50" s="191"/>
      <c r="S50" s="352"/>
      <c r="T50" s="352"/>
      <c r="U50" s="352"/>
      <c r="V50" s="352"/>
      <c r="W50" s="352"/>
      <c r="X50" s="352"/>
      <c r="Y50" s="352"/>
    </row>
    <row r="51" spans="1:25" x14ac:dyDescent="0.2">
      <c r="A51" s="172"/>
      <c r="B51" s="176" t="s">
        <v>30</v>
      </c>
      <c r="C51" s="286" t="s">
        <v>152</v>
      </c>
      <c r="D51" s="187"/>
      <c r="E51" s="187"/>
      <c r="F51" s="187"/>
      <c r="G51" s="187"/>
      <c r="H51" s="187"/>
      <c r="I51" s="211"/>
      <c r="J51" s="211"/>
      <c r="K51" s="200"/>
      <c r="L51" s="200"/>
      <c r="M51" s="200"/>
      <c r="N51" s="200"/>
      <c r="O51" s="200"/>
      <c r="P51" s="191"/>
      <c r="S51" s="352"/>
      <c r="T51" s="352"/>
      <c r="U51" s="352"/>
      <c r="V51" s="352"/>
      <c r="W51" s="352"/>
      <c r="X51" s="352"/>
      <c r="Y51" s="352"/>
    </row>
    <row r="52" spans="1:25" x14ac:dyDescent="0.2">
      <c r="A52" s="172"/>
      <c r="B52" s="212" t="str">
        <f t="shared" ref="B52:B62" si="19">IF(B12="","",B12)</f>
        <v/>
      </c>
      <c r="C52" s="322" t="str">
        <f>IF(C12="Select Employee Class","",C12)</f>
        <v/>
      </c>
      <c r="D52" s="213"/>
      <c r="E52" s="213"/>
      <c r="F52" s="213"/>
      <c r="G52" s="213"/>
      <c r="H52" s="213"/>
      <c r="J52" s="293" t="str">
        <f>IF(B52="","",VLOOKUP(VLOOKUP(C52,$AJ$6:$AK$13,2,FALSE),'Eclass OPE Rates'!$A$26:$F$33,2,FALSE))</f>
        <v/>
      </c>
      <c r="K52" s="214">
        <f>IF($C52="",0,ROUND(K12*VLOOKUP(VLOOKUP($C52,'SPS Internal Use Generic 5 yr'!$AJ$6:$AK$13,2,FALSE),'Eclass OPE Rates'!$A$26:$F$33,2,FALSE),0))</f>
        <v>0</v>
      </c>
      <c r="L52" s="214">
        <f>IF($C52="",0,ROUND(L12*VLOOKUP(VLOOKUP($C52,'SPS Internal Use Generic 5 yr'!$AJ$6:$AK$13,2,FALSE),'Eclass OPE Rates'!$A$26:$F$33,3,FALSE),0))</f>
        <v>0</v>
      </c>
      <c r="M52" s="214">
        <f>IF($C52="",0,ROUND(M12*VLOOKUP(VLOOKUP($C52,'SPS Internal Use Generic 5 yr'!$AJ$6:$AK$13,2,FALSE),'Eclass OPE Rates'!$A$26:$F$33,4,FALSE),0))</f>
        <v>0</v>
      </c>
      <c r="N52" s="214">
        <f>IF($C52="",0,ROUND(N12*VLOOKUP(VLOOKUP($C52,'SPS Internal Use Generic 5 yr'!$AJ$6:$AK$13,2,FALSE),'Eclass OPE Rates'!$A$26:$F$33,5,FALSE),0))</f>
        <v>0</v>
      </c>
      <c r="O52" s="214">
        <f>IF($C52="",0,ROUND(O12*VLOOKUP(VLOOKUP($C52,'SPS Internal Use Generic 5 yr'!$AJ$6:$AK$13,2,FALSE),'Eclass OPE Rates'!$A$26:$F$33,6,FALSE),0))</f>
        <v>0</v>
      </c>
      <c r="P52" s="190">
        <f>SUM(K52:O52)</f>
        <v>0</v>
      </c>
      <c r="Q52" s="88"/>
      <c r="S52" s="352"/>
      <c r="T52" s="352"/>
      <c r="U52" s="352"/>
      <c r="V52" s="352"/>
      <c r="W52" s="352"/>
      <c r="X52" s="352"/>
      <c r="Y52" s="352"/>
    </row>
    <row r="53" spans="1:25" x14ac:dyDescent="0.2">
      <c r="A53" s="172"/>
      <c r="B53" s="212" t="str">
        <f t="shared" si="19"/>
        <v/>
      </c>
      <c r="C53" s="322" t="str">
        <f t="shared" ref="C53:C62" si="20">IF(C13="Select Employee Class","",C13)</f>
        <v/>
      </c>
      <c r="D53" s="203"/>
      <c r="E53" s="203"/>
      <c r="F53" s="203"/>
      <c r="G53" s="203"/>
      <c r="H53" s="203"/>
      <c r="J53" s="293" t="str">
        <f>IF(B53="","",VLOOKUP(VLOOKUP(C53,$AJ$6:$AK$13,2,FALSE),'Eclass OPE Rates'!$A$26:$F$33,2,FALSE))</f>
        <v/>
      </c>
      <c r="K53" s="214">
        <f>IF($C53="",0,ROUND(K13*VLOOKUP(VLOOKUP($C53,'SPS Internal Use Generic 5 yr'!$AJ$6:$AK$13,2,FALSE),'Eclass OPE Rates'!$A$26:$F$33,2,FALSE),0))</f>
        <v>0</v>
      </c>
      <c r="L53" s="214">
        <f>IF($C53="",0,ROUND(L13*VLOOKUP(VLOOKUP($C53,'SPS Internal Use Generic 5 yr'!$AJ$6:$AK$13,2,FALSE),'Eclass OPE Rates'!$A$26:$F$33,3,FALSE),0))</f>
        <v>0</v>
      </c>
      <c r="M53" s="214">
        <f>IF($C53="",0,ROUND(M13*VLOOKUP(VLOOKUP($C53,'SPS Internal Use Generic 5 yr'!$AJ$6:$AK$13,2,FALSE),'Eclass OPE Rates'!$A$26:$F$33,4,FALSE),0))</f>
        <v>0</v>
      </c>
      <c r="N53" s="214">
        <f>IF($C53="",0,ROUND(N13*VLOOKUP(VLOOKUP($C53,'SPS Internal Use Generic 5 yr'!$AJ$6:$AK$13,2,FALSE),'Eclass OPE Rates'!$A$26:$F$33,5,FALSE),0))</f>
        <v>0</v>
      </c>
      <c r="O53" s="214">
        <f>IF($C53="",0,ROUND(O13*VLOOKUP(VLOOKUP($C53,'SPS Internal Use Generic 5 yr'!$AJ$6:$AK$13,2,FALSE),'Eclass OPE Rates'!$A$26:$F$33,6,FALSE),0))</f>
        <v>0</v>
      </c>
      <c r="P53" s="190">
        <f>SUM(K53:O53)</f>
        <v>0</v>
      </c>
      <c r="Q53" s="88"/>
      <c r="R53" s="3"/>
      <c r="S53" s="352"/>
      <c r="T53" s="352"/>
      <c r="U53" s="352"/>
      <c r="V53" s="352"/>
      <c r="W53" s="352"/>
      <c r="X53" s="352"/>
      <c r="Y53" s="352"/>
    </row>
    <row r="54" spans="1:25" x14ac:dyDescent="0.2">
      <c r="A54" s="172"/>
      <c r="B54" s="212" t="str">
        <f t="shared" si="19"/>
        <v/>
      </c>
      <c r="C54" s="322" t="str">
        <f t="shared" si="20"/>
        <v/>
      </c>
      <c r="D54" s="203"/>
      <c r="E54" s="203"/>
      <c r="F54" s="203"/>
      <c r="G54" s="203"/>
      <c r="H54" s="203"/>
      <c r="J54" s="293" t="str">
        <f>IF(B54="","",VLOOKUP(VLOOKUP(C54,$AJ$6:$AK$13,2,FALSE),'Eclass OPE Rates'!$A$26:$F$33,2,FALSE))</f>
        <v/>
      </c>
      <c r="K54" s="214">
        <f>IF($C54="",0,ROUND(K14*VLOOKUP(VLOOKUP($C54,'SPS Internal Use Generic 5 yr'!$AJ$6:$AK$13,2,FALSE),'Eclass OPE Rates'!$A$26:$F$33,2,FALSE),0))</f>
        <v>0</v>
      </c>
      <c r="L54" s="214">
        <f>IF($C54="",0,ROUND(L14*VLOOKUP(VLOOKUP($C54,'SPS Internal Use Generic 5 yr'!$AJ$6:$AK$13,2,FALSE),'Eclass OPE Rates'!$A$26:$F$33,3,FALSE),0))</f>
        <v>0</v>
      </c>
      <c r="M54" s="214">
        <f>IF($C54="",0,ROUND(M14*VLOOKUP(VLOOKUP($C54,'SPS Internal Use Generic 5 yr'!$AJ$6:$AK$13,2,FALSE),'Eclass OPE Rates'!$A$26:$F$33,4,FALSE),0))</f>
        <v>0</v>
      </c>
      <c r="N54" s="214">
        <f>IF($C54="",0,ROUND(N14*VLOOKUP(VLOOKUP($C54,'SPS Internal Use Generic 5 yr'!$AJ$6:$AK$13,2,FALSE),'Eclass OPE Rates'!$A$26:$F$33,5,FALSE),0))</f>
        <v>0</v>
      </c>
      <c r="O54" s="214">
        <f>IF($C54="",0,ROUND(O14*VLOOKUP(VLOOKUP($C54,'SPS Internal Use Generic 5 yr'!$AJ$6:$AK$13,2,FALSE),'Eclass OPE Rates'!$A$26:$F$33,6,FALSE),0))</f>
        <v>0</v>
      </c>
      <c r="P54" s="190">
        <f t="shared" ref="P54:P62" si="21">SUM(K54:O54)</f>
        <v>0</v>
      </c>
      <c r="R54" s="3"/>
      <c r="S54" s="352"/>
      <c r="T54" s="352"/>
      <c r="U54" s="352"/>
      <c r="V54" s="352"/>
      <c r="W54" s="352"/>
      <c r="X54" s="352"/>
      <c r="Y54" s="352"/>
    </row>
    <row r="55" spans="1:25" x14ac:dyDescent="0.2">
      <c r="A55" s="172"/>
      <c r="B55" s="212" t="str">
        <f t="shared" si="19"/>
        <v/>
      </c>
      <c r="C55" s="322" t="str">
        <f t="shared" si="20"/>
        <v/>
      </c>
      <c r="D55" s="203"/>
      <c r="E55" s="203"/>
      <c r="F55" s="203"/>
      <c r="G55" s="203"/>
      <c r="H55" s="203"/>
      <c r="J55" s="293" t="str">
        <f>IF(B55="","",VLOOKUP(VLOOKUP(C55,$AJ$6:$AK$13,2,FALSE),'Eclass OPE Rates'!$A$26:$F$33,2,FALSE))</f>
        <v/>
      </c>
      <c r="K55" s="214">
        <f>IF($C55="",0,ROUND(K15*VLOOKUP(VLOOKUP($C55,'SPS Internal Use Generic 5 yr'!$AJ$6:$AK$13,2,FALSE),'Eclass OPE Rates'!$A$26:$F$33,2,FALSE),0))</f>
        <v>0</v>
      </c>
      <c r="L55" s="214">
        <f>IF($C55="",0,ROUND(L15*VLOOKUP(VLOOKUP($C55,'SPS Internal Use Generic 5 yr'!$AJ$6:$AK$13,2,FALSE),'Eclass OPE Rates'!$A$26:$F$33,3,FALSE),0))</f>
        <v>0</v>
      </c>
      <c r="M55" s="214">
        <f>IF($C55="",0,ROUND(M15*VLOOKUP(VLOOKUP($C55,'SPS Internal Use Generic 5 yr'!$AJ$6:$AK$13,2,FALSE),'Eclass OPE Rates'!$A$26:$F$33,4,FALSE),0))</f>
        <v>0</v>
      </c>
      <c r="N55" s="214">
        <f>IF($C55="",0,ROUND(N15*VLOOKUP(VLOOKUP($C55,'SPS Internal Use Generic 5 yr'!$AJ$6:$AK$13,2,FALSE),'Eclass OPE Rates'!$A$26:$F$33,5,FALSE),0))</f>
        <v>0</v>
      </c>
      <c r="O55" s="214">
        <f>IF($C55="",0,ROUND(O15*VLOOKUP(VLOOKUP($C55,'SPS Internal Use Generic 5 yr'!$AJ$6:$AK$13,2,FALSE),'Eclass OPE Rates'!$A$26:$F$33,6,FALSE),0))</f>
        <v>0</v>
      </c>
      <c r="P55" s="190">
        <f t="shared" si="21"/>
        <v>0</v>
      </c>
      <c r="S55" s="352"/>
      <c r="T55" s="352"/>
      <c r="U55" s="352"/>
      <c r="V55" s="352"/>
      <c r="W55" s="352"/>
      <c r="X55" s="352"/>
      <c r="Y55" s="352"/>
    </row>
    <row r="56" spans="1:25" x14ac:dyDescent="0.2">
      <c r="A56" s="172"/>
      <c r="B56" s="212" t="str">
        <f t="shared" si="19"/>
        <v/>
      </c>
      <c r="C56" s="322" t="str">
        <f t="shared" si="20"/>
        <v/>
      </c>
      <c r="D56" s="203"/>
      <c r="E56" s="203"/>
      <c r="F56" s="203"/>
      <c r="G56" s="203"/>
      <c r="H56" s="203"/>
      <c r="J56" s="293" t="str">
        <f>IF(B56="","",VLOOKUP(VLOOKUP(C56,$AJ$6:$AK$13,2,FALSE),'Eclass OPE Rates'!$A$26:$F$33,2,FALSE))</f>
        <v/>
      </c>
      <c r="K56" s="214">
        <f>IF($C56="",0,ROUND(K16*VLOOKUP(VLOOKUP($C56,'SPS Internal Use Generic 5 yr'!$AJ$6:$AK$13,2,FALSE),'Eclass OPE Rates'!$A$26:$F$33,2,FALSE),0))</f>
        <v>0</v>
      </c>
      <c r="L56" s="214">
        <f>IF($C56="",0,ROUND(L16*VLOOKUP(VLOOKUP($C56,'SPS Internal Use Generic 5 yr'!$AJ$6:$AK$13,2,FALSE),'Eclass OPE Rates'!$A$26:$F$33,3,FALSE),0))</f>
        <v>0</v>
      </c>
      <c r="M56" s="214">
        <f>IF($C56="",0,ROUND(M16*VLOOKUP(VLOOKUP($C56,'SPS Internal Use Generic 5 yr'!$AJ$6:$AK$13,2,FALSE),'Eclass OPE Rates'!$A$26:$F$33,4,FALSE),0))</f>
        <v>0</v>
      </c>
      <c r="N56" s="214">
        <f>IF($C56="",0,ROUND(N16*VLOOKUP(VLOOKUP($C56,'SPS Internal Use Generic 5 yr'!$AJ$6:$AK$13,2,FALSE),'Eclass OPE Rates'!$A$26:$F$33,5,FALSE),0))</f>
        <v>0</v>
      </c>
      <c r="O56" s="214">
        <f>IF($C56="",0,ROUND(O16*VLOOKUP(VLOOKUP($C56,'SPS Internal Use Generic 5 yr'!$AJ$6:$AK$13,2,FALSE),'Eclass OPE Rates'!$A$26:$F$33,6,FALSE),0))</f>
        <v>0</v>
      </c>
      <c r="P56" s="190">
        <f t="shared" si="21"/>
        <v>0</v>
      </c>
      <c r="S56" s="352" t="s">
        <v>28</v>
      </c>
      <c r="T56" s="352"/>
      <c r="U56" s="352"/>
      <c r="V56" s="352"/>
      <c r="W56" s="352"/>
      <c r="X56" s="352"/>
      <c r="Y56" s="352"/>
    </row>
    <row r="57" spans="1:25" x14ac:dyDescent="0.2">
      <c r="A57" s="172"/>
      <c r="B57" s="212" t="str">
        <f t="shared" si="19"/>
        <v/>
      </c>
      <c r="C57" s="322" t="str">
        <f t="shared" si="20"/>
        <v/>
      </c>
      <c r="D57" s="203"/>
      <c r="E57" s="203"/>
      <c r="F57" s="203"/>
      <c r="G57" s="203"/>
      <c r="H57" s="203"/>
      <c r="J57" s="293" t="str">
        <f>IF(B57="","",VLOOKUP(VLOOKUP(C57,$AJ$6:$AK$13,2,FALSE),'Eclass OPE Rates'!$A$26:$F$33,2,FALSE))</f>
        <v/>
      </c>
      <c r="K57" s="214">
        <f>IF($C57="",0,ROUND(K17*VLOOKUP(VLOOKUP($C57,'SPS Internal Use Generic 5 yr'!$AJ$6:$AK$13,2,FALSE),'Eclass OPE Rates'!$A$26:$F$33,2,FALSE),0))</f>
        <v>0</v>
      </c>
      <c r="L57" s="214">
        <f>IF($C57="",0,ROUND(L17*VLOOKUP(VLOOKUP($C57,'SPS Internal Use Generic 5 yr'!$AJ$6:$AK$13,2,FALSE),'Eclass OPE Rates'!$A$26:$F$33,3,FALSE),0))</f>
        <v>0</v>
      </c>
      <c r="M57" s="214">
        <f>IF($C57="",0,ROUND(M17*VLOOKUP(VLOOKUP($C57,'SPS Internal Use Generic 5 yr'!$AJ$6:$AK$13,2,FALSE),'Eclass OPE Rates'!$A$26:$F$33,4,FALSE),0))</f>
        <v>0</v>
      </c>
      <c r="N57" s="214">
        <f>IF($C57="",0,ROUND(N17*VLOOKUP(VLOOKUP($C57,'SPS Internal Use Generic 5 yr'!$AJ$6:$AK$13,2,FALSE),'Eclass OPE Rates'!$A$26:$F$33,5,FALSE),0))</f>
        <v>0</v>
      </c>
      <c r="O57" s="214">
        <f>IF($C57="",0,ROUND(O17*VLOOKUP(VLOOKUP($C57,'SPS Internal Use Generic 5 yr'!$AJ$6:$AK$13,2,FALSE),'Eclass OPE Rates'!$A$26:$F$33,6,FALSE),0))</f>
        <v>0</v>
      </c>
      <c r="P57" s="190">
        <f t="shared" si="21"/>
        <v>0</v>
      </c>
      <c r="S57" s="352"/>
      <c r="T57" s="352"/>
      <c r="U57" s="352"/>
      <c r="V57" s="352"/>
      <c r="W57" s="352"/>
      <c r="X57" s="352"/>
      <c r="Y57" s="352"/>
    </row>
    <row r="58" spans="1:25" x14ac:dyDescent="0.2">
      <c r="A58" s="172"/>
      <c r="B58" s="212" t="str">
        <f t="shared" si="19"/>
        <v/>
      </c>
      <c r="C58" s="322" t="str">
        <f t="shared" si="20"/>
        <v/>
      </c>
      <c r="D58" s="203"/>
      <c r="E58" s="203"/>
      <c r="F58" s="203"/>
      <c r="G58" s="203"/>
      <c r="H58" s="203"/>
      <c r="J58" s="293" t="str">
        <f>IF(B58="","",VLOOKUP(VLOOKUP(C58,$AJ$6:$AK$13,2,FALSE),'Eclass OPE Rates'!$A$26:$F$33,2,FALSE))</f>
        <v/>
      </c>
      <c r="K58" s="214">
        <f>IF($C58="",0,ROUND(K18*VLOOKUP(VLOOKUP($C58,'SPS Internal Use Generic 5 yr'!$AJ$6:$AK$13,2,FALSE),'Eclass OPE Rates'!$A$26:$F$33,2,FALSE),0))</f>
        <v>0</v>
      </c>
      <c r="L58" s="214">
        <f>IF($C58="",0,ROUND(L18*VLOOKUP(VLOOKUP($C58,'SPS Internal Use Generic 5 yr'!$AJ$6:$AK$13,2,FALSE),'Eclass OPE Rates'!$A$26:$F$33,3,FALSE),0))</f>
        <v>0</v>
      </c>
      <c r="M58" s="214">
        <f>IF($C58="",0,ROUND(M18*VLOOKUP(VLOOKUP($C58,'SPS Internal Use Generic 5 yr'!$AJ$6:$AK$13,2,FALSE),'Eclass OPE Rates'!$A$26:$F$33,4,FALSE),0))</f>
        <v>0</v>
      </c>
      <c r="N58" s="214">
        <f>IF($C58="",0,ROUND(N18*VLOOKUP(VLOOKUP($C58,'SPS Internal Use Generic 5 yr'!$AJ$6:$AK$13,2,FALSE),'Eclass OPE Rates'!$A$26:$F$33,5,FALSE),0))</f>
        <v>0</v>
      </c>
      <c r="O58" s="214">
        <f>IF($C58="",0,ROUND(O18*VLOOKUP(VLOOKUP($C58,'SPS Internal Use Generic 5 yr'!$AJ$6:$AK$13,2,FALSE),'Eclass OPE Rates'!$A$26:$F$33,6,FALSE),0))</f>
        <v>0</v>
      </c>
      <c r="P58" s="190">
        <f t="shared" si="21"/>
        <v>0</v>
      </c>
      <c r="S58" s="352" t="s">
        <v>28</v>
      </c>
      <c r="T58" s="352"/>
      <c r="U58" s="352"/>
      <c r="V58" s="352"/>
      <c r="W58" s="352"/>
      <c r="X58" s="352"/>
      <c r="Y58" s="352"/>
    </row>
    <row r="59" spans="1:25" x14ac:dyDescent="0.2">
      <c r="A59" s="172"/>
      <c r="B59" s="212" t="str">
        <f t="shared" si="19"/>
        <v/>
      </c>
      <c r="C59" s="322" t="str">
        <f t="shared" si="20"/>
        <v/>
      </c>
      <c r="D59" s="203"/>
      <c r="E59" s="203"/>
      <c r="F59" s="203"/>
      <c r="G59" s="203"/>
      <c r="H59" s="203"/>
      <c r="J59" s="293" t="str">
        <f>IF(B59="","",VLOOKUP(VLOOKUP(C59,$AJ$6:$AK$13,2,FALSE),'Eclass OPE Rates'!$A$26:$F$33,2,FALSE))</f>
        <v/>
      </c>
      <c r="K59" s="214">
        <f>IF($C59="",0,ROUND(K19*VLOOKUP(VLOOKUP($C59,'SPS Internal Use Generic 5 yr'!$AJ$6:$AK$13,2,FALSE),'Eclass OPE Rates'!$A$26:$F$33,2,FALSE),0))</f>
        <v>0</v>
      </c>
      <c r="L59" s="214">
        <f>IF($C59="",0,ROUND(L19*VLOOKUP(VLOOKUP($C59,'SPS Internal Use Generic 5 yr'!$AJ$6:$AK$13,2,FALSE),'Eclass OPE Rates'!$A$26:$F$33,3,FALSE),0))</f>
        <v>0</v>
      </c>
      <c r="M59" s="214">
        <f>IF($C59="",0,ROUND(M19*VLOOKUP(VLOOKUP($C59,'SPS Internal Use Generic 5 yr'!$AJ$6:$AK$13,2,FALSE),'Eclass OPE Rates'!$A$26:$F$33,4,FALSE),0))</f>
        <v>0</v>
      </c>
      <c r="N59" s="214">
        <f>IF($C59="",0,ROUND(N19*VLOOKUP(VLOOKUP($C59,'SPS Internal Use Generic 5 yr'!$AJ$6:$AK$13,2,FALSE),'Eclass OPE Rates'!$A$26:$F$33,5,FALSE),0))</f>
        <v>0</v>
      </c>
      <c r="O59" s="214">
        <f>IF($C59="",0,ROUND(O19*VLOOKUP(VLOOKUP($C59,'SPS Internal Use Generic 5 yr'!$AJ$6:$AK$13,2,FALSE),'Eclass OPE Rates'!$A$26:$F$33,6,FALSE),0))</f>
        <v>0</v>
      </c>
      <c r="P59" s="190">
        <f t="shared" si="21"/>
        <v>0</v>
      </c>
      <c r="S59" s="352"/>
      <c r="T59" s="352"/>
      <c r="U59" s="352"/>
      <c r="V59" s="352"/>
      <c r="W59" s="352"/>
      <c r="X59" s="352"/>
      <c r="Y59" s="352"/>
    </row>
    <row r="60" spans="1:25" x14ac:dyDescent="0.2">
      <c r="A60" s="172"/>
      <c r="B60" s="212" t="str">
        <f t="shared" si="19"/>
        <v/>
      </c>
      <c r="C60" s="322" t="str">
        <f t="shared" si="20"/>
        <v/>
      </c>
      <c r="D60" s="203"/>
      <c r="E60" s="203"/>
      <c r="F60" s="203"/>
      <c r="G60" s="203"/>
      <c r="H60" s="203"/>
      <c r="J60" s="293" t="str">
        <f>IF(B60="","",VLOOKUP(VLOOKUP(C60,$AJ$6:$AK$13,2,FALSE),'Eclass OPE Rates'!$A$26:$F$33,2,FALSE))</f>
        <v/>
      </c>
      <c r="K60" s="214">
        <f>IF($C60="",0,ROUND(K20*VLOOKUP(VLOOKUP($C60,'SPS Internal Use Generic 5 yr'!$AJ$6:$AK$13,2,FALSE),'Eclass OPE Rates'!$A$26:$F$33,2,FALSE),0))</f>
        <v>0</v>
      </c>
      <c r="L60" s="214">
        <f>IF($C60="",0,ROUND(L20*VLOOKUP(VLOOKUP($C60,'SPS Internal Use Generic 5 yr'!$AJ$6:$AK$13,2,FALSE),'Eclass OPE Rates'!$A$26:$F$33,3,FALSE),0))</f>
        <v>0</v>
      </c>
      <c r="M60" s="214">
        <f>IF($C60="",0,ROUND(M20*VLOOKUP(VLOOKUP($C60,'SPS Internal Use Generic 5 yr'!$AJ$6:$AK$13,2,FALSE),'Eclass OPE Rates'!$A$26:$F$33,4,FALSE),0))</f>
        <v>0</v>
      </c>
      <c r="N60" s="214">
        <f>IF($C60="",0,ROUND(N20*VLOOKUP(VLOOKUP($C60,'SPS Internal Use Generic 5 yr'!$AJ$6:$AK$13,2,FALSE),'Eclass OPE Rates'!$A$26:$F$33,5,FALSE),0))</f>
        <v>0</v>
      </c>
      <c r="O60" s="214">
        <f>IF($C60="",0,ROUND(O20*VLOOKUP(VLOOKUP($C60,'SPS Internal Use Generic 5 yr'!$AJ$6:$AK$13,2,FALSE),'Eclass OPE Rates'!$A$26:$F$33,6,FALSE),0))</f>
        <v>0</v>
      </c>
      <c r="P60" s="190">
        <f t="shared" si="21"/>
        <v>0</v>
      </c>
      <c r="S60" s="352"/>
      <c r="T60" s="352"/>
      <c r="U60" s="352"/>
      <c r="V60" s="352"/>
      <c r="W60" s="352"/>
      <c r="X60" s="352"/>
      <c r="Y60" s="352"/>
    </row>
    <row r="61" spans="1:25" x14ac:dyDescent="0.2">
      <c r="A61" s="172"/>
      <c r="B61" s="212" t="str">
        <f t="shared" si="19"/>
        <v/>
      </c>
      <c r="C61" s="322" t="str">
        <f t="shared" si="20"/>
        <v/>
      </c>
      <c r="D61" s="203"/>
      <c r="E61" s="203"/>
      <c r="F61" s="203"/>
      <c r="G61" s="203"/>
      <c r="H61" s="203"/>
      <c r="J61" s="293" t="str">
        <f>IF(B61="","",VLOOKUP(VLOOKUP(C61,$AJ$6:$AK$13,2,FALSE),'Eclass OPE Rates'!$A$26:$F$33,2,FALSE))</f>
        <v/>
      </c>
      <c r="K61" s="214">
        <f>IF($C61="",0,ROUND(K21*VLOOKUP(VLOOKUP($C61,'SPS Internal Use Generic 5 yr'!$AJ$6:$AK$13,2,FALSE),'Eclass OPE Rates'!$A$26:$F$33,2,FALSE),0))</f>
        <v>0</v>
      </c>
      <c r="L61" s="214">
        <f>IF($C61="",0,ROUND(L21*VLOOKUP(VLOOKUP($C61,'SPS Internal Use Generic 5 yr'!$AJ$6:$AK$13,2,FALSE),'Eclass OPE Rates'!$A$26:$F$33,3,FALSE),0))</f>
        <v>0</v>
      </c>
      <c r="M61" s="214">
        <f>IF($C61="",0,ROUND(M21*VLOOKUP(VLOOKUP($C61,'SPS Internal Use Generic 5 yr'!$AJ$6:$AK$13,2,FALSE),'Eclass OPE Rates'!$A$26:$F$33,4,FALSE),0))</f>
        <v>0</v>
      </c>
      <c r="N61" s="214">
        <f>IF($C61="",0,ROUND(N21*VLOOKUP(VLOOKUP($C61,'SPS Internal Use Generic 5 yr'!$AJ$6:$AK$13,2,FALSE),'Eclass OPE Rates'!$A$26:$F$33,5,FALSE),0))</f>
        <v>0</v>
      </c>
      <c r="O61" s="214">
        <f>IF($C61="",0,ROUND(O21*VLOOKUP(VLOOKUP($C61,'SPS Internal Use Generic 5 yr'!$AJ$6:$AK$13,2,FALSE),'Eclass OPE Rates'!$A$26:$F$33,6,FALSE),0))</f>
        <v>0</v>
      </c>
      <c r="P61" s="190">
        <f t="shared" si="21"/>
        <v>0</v>
      </c>
      <c r="S61" s="352"/>
      <c r="T61" s="352"/>
      <c r="U61" s="352"/>
      <c r="V61" s="352"/>
      <c r="W61" s="352"/>
      <c r="X61" s="352"/>
      <c r="Y61" s="352"/>
    </row>
    <row r="62" spans="1:25" x14ac:dyDescent="0.2">
      <c r="A62" s="172"/>
      <c r="B62" s="212" t="str">
        <f t="shared" si="19"/>
        <v/>
      </c>
      <c r="C62" s="322" t="str">
        <f t="shared" si="20"/>
        <v/>
      </c>
      <c r="D62" s="203"/>
      <c r="E62" s="203"/>
      <c r="F62" s="203"/>
      <c r="G62" s="203"/>
      <c r="H62" s="203"/>
      <c r="J62" s="293" t="str">
        <f>IF(B62="","",VLOOKUP(VLOOKUP(C62,$AJ$6:$AK$13,2,FALSE),'Eclass OPE Rates'!$A$26:$F$33,2,FALSE))</f>
        <v/>
      </c>
      <c r="K62" s="214">
        <f>IF($C62="",0,ROUND(K22*VLOOKUP(VLOOKUP($C62,'SPS Internal Use Generic 5 yr'!$AJ$6:$AK$13,2,FALSE),'Eclass OPE Rates'!$A$26:$F$33,2,FALSE),0))</f>
        <v>0</v>
      </c>
      <c r="L62" s="214">
        <f>IF($C62="",0,ROUND(L22*VLOOKUP(VLOOKUP($C62,'SPS Internal Use Generic 5 yr'!$AJ$6:$AK$13,2,FALSE),'Eclass OPE Rates'!$A$26:$F$33,3,FALSE),0))</f>
        <v>0</v>
      </c>
      <c r="M62" s="214">
        <f>IF($C62="",0,ROUND(M22*VLOOKUP(VLOOKUP($C62,'SPS Internal Use Generic 5 yr'!$AJ$6:$AK$13,2,FALSE),'Eclass OPE Rates'!$A$26:$F$33,4,FALSE),0))</f>
        <v>0</v>
      </c>
      <c r="N62" s="214">
        <f>IF($C62="",0,ROUND(N22*VLOOKUP(VLOOKUP($C62,'SPS Internal Use Generic 5 yr'!$AJ$6:$AK$13,2,FALSE),'Eclass OPE Rates'!$A$26:$F$33,5,FALSE),0))</f>
        <v>0</v>
      </c>
      <c r="O62" s="214">
        <f>IF($C62="",0,ROUND(O22*VLOOKUP(VLOOKUP($C62,'SPS Internal Use Generic 5 yr'!$AJ$6:$AK$13,2,FALSE),'Eclass OPE Rates'!$A$26:$F$33,6,FALSE),0))</f>
        <v>0</v>
      </c>
      <c r="P62" s="190">
        <f t="shared" si="21"/>
        <v>0</v>
      </c>
      <c r="S62" s="352"/>
      <c r="T62" s="352"/>
      <c r="U62" s="352"/>
      <c r="V62" s="352"/>
      <c r="W62" s="352"/>
      <c r="X62" s="352"/>
      <c r="Y62" s="352"/>
    </row>
    <row r="63" spans="1:25" ht="14.25" x14ac:dyDescent="0.2">
      <c r="A63" s="172"/>
      <c r="B63" s="181" t="s">
        <v>34</v>
      </c>
      <c r="C63" s="211"/>
      <c r="D63" s="187"/>
      <c r="E63" s="187"/>
      <c r="F63" s="187"/>
      <c r="G63" s="187"/>
      <c r="H63" s="187"/>
      <c r="I63" s="211"/>
      <c r="J63" s="293"/>
      <c r="K63" s="214"/>
      <c r="L63" s="214"/>
      <c r="M63" s="214"/>
      <c r="N63" s="214"/>
      <c r="O63" s="214"/>
      <c r="P63" s="191"/>
      <c r="S63" s="352"/>
      <c r="T63" s="352"/>
      <c r="U63" s="352"/>
      <c r="V63" s="352" t="s">
        <v>28</v>
      </c>
      <c r="W63" s="352"/>
      <c r="X63" s="352"/>
      <c r="Y63" s="352"/>
    </row>
    <row r="64" spans="1:25" ht="14.25" x14ac:dyDescent="0.2">
      <c r="A64" s="172"/>
      <c r="B64" s="181" t="s">
        <v>26</v>
      </c>
      <c r="C64" s="211"/>
      <c r="D64" s="187"/>
      <c r="E64" s="187"/>
      <c r="F64" s="187"/>
      <c r="G64" s="187"/>
      <c r="H64" s="187"/>
      <c r="I64" s="211"/>
      <c r="J64" s="293"/>
      <c r="K64" s="214"/>
      <c r="L64" s="214"/>
      <c r="M64" s="214"/>
      <c r="N64" s="214"/>
      <c r="O64" s="214"/>
      <c r="P64" s="191"/>
      <c r="S64" s="352"/>
      <c r="T64" s="352"/>
      <c r="U64" s="352"/>
      <c r="V64" s="352"/>
      <c r="W64" s="352"/>
      <c r="X64" s="352"/>
      <c r="Y64" s="352"/>
    </row>
    <row r="65" spans="1:23" x14ac:dyDescent="0.2">
      <c r="A65" s="172"/>
      <c r="B65" s="194" t="s">
        <v>31</v>
      </c>
      <c r="C65" s="286" t="s">
        <v>152</v>
      </c>
      <c r="D65" s="187"/>
      <c r="E65" s="187"/>
      <c r="F65" s="187"/>
      <c r="G65" s="187"/>
      <c r="H65" s="187"/>
      <c r="I65" s="211"/>
      <c r="J65" s="293"/>
      <c r="K65" s="214"/>
      <c r="L65" s="214"/>
      <c r="M65" s="214"/>
      <c r="N65" s="214"/>
      <c r="O65" s="214"/>
      <c r="P65" s="191"/>
    </row>
    <row r="66" spans="1:23" x14ac:dyDescent="0.2">
      <c r="A66" s="172"/>
      <c r="B66" s="185" t="str">
        <f t="shared" ref="B66:B71" si="22">IF(B25="","",B25)</f>
        <v/>
      </c>
      <c r="C66" s="322" t="str">
        <f t="shared" ref="C66:C71" si="23">IF(C25="Select Employee Class","",C25)</f>
        <v/>
      </c>
      <c r="D66" s="187"/>
      <c r="E66" s="187"/>
      <c r="F66" s="187"/>
      <c r="G66" s="187"/>
      <c r="H66" s="187"/>
      <c r="J66" s="293" t="str">
        <f>IF(B66="","",VLOOKUP(VLOOKUP(C66,$AJ$6:$AK$14,2,FALSE),'Eclass OPE Rates'!$A$26:$F$33,2,FALSE))</f>
        <v/>
      </c>
      <c r="K66" s="214">
        <f>IF($C66="",0,ROUND(K25*VLOOKUP(VLOOKUP($C66,'SPS Internal Use Generic 5 yr'!$AJ$6:$AK$14,2,FALSE),'Eclass OPE Rates'!$A$26:$F$33,2,FALSE),0))</f>
        <v>0</v>
      </c>
      <c r="L66" s="214">
        <f>IF($C66="",0,ROUND(L25*VLOOKUP(VLOOKUP($C66,'SPS Internal Use Generic 5 yr'!$AJ$6:$AK$14,2,FALSE),'Eclass OPE Rates'!$A$26:$F$33,3,FALSE),0))</f>
        <v>0</v>
      </c>
      <c r="M66" s="214">
        <f>IF($C66="",0,ROUND(M25*VLOOKUP(VLOOKUP($C66,'SPS Internal Use Generic 5 yr'!$AJ$6:$AK$14,2,FALSE),'Eclass OPE Rates'!$A$26:$F$33,4,FALSE),0))</f>
        <v>0</v>
      </c>
      <c r="N66" s="214">
        <f>IF($C66="",0,ROUND(N25*VLOOKUP(VLOOKUP($C66,'SPS Internal Use Generic 5 yr'!$AJ$6:$AK$14,2,FALSE),'Eclass OPE Rates'!$A$26:$F$33,5,FALSE),0))</f>
        <v>0</v>
      </c>
      <c r="O66" s="214">
        <f>IF($C66="",0,ROUND(O25*VLOOKUP(VLOOKUP($C66,'SPS Internal Use Generic 5 yr'!$AJ$6:$AK$14,2,FALSE),'Eclass OPE Rates'!$A$26:$F$33,6,FALSE),0))</f>
        <v>0</v>
      </c>
      <c r="P66" s="191">
        <f t="shared" ref="P66:P71" si="24">SUM(K66:O66)</f>
        <v>0</v>
      </c>
    </row>
    <row r="67" spans="1:23" x14ac:dyDescent="0.2">
      <c r="A67" s="172"/>
      <c r="B67" s="185" t="str">
        <f t="shared" si="22"/>
        <v/>
      </c>
      <c r="C67" s="322" t="str">
        <f t="shared" si="23"/>
        <v/>
      </c>
      <c r="D67" s="187"/>
      <c r="E67" s="187"/>
      <c r="F67" s="187"/>
      <c r="G67" s="187"/>
      <c r="H67" s="187"/>
      <c r="J67" s="293" t="str">
        <f>IF(B67="","",VLOOKUP(VLOOKUP(C67,$AJ$6:$AK$14,2,FALSE),'Eclass OPE Rates'!$A$26:$F$33,2,FALSE))</f>
        <v/>
      </c>
      <c r="K67" s="214">
        <f>IF($C67="",0,ROUND(K26*VLOOKUP(VLOOKUP($C67,'SPS Internal Use Generic 5 yr'!$AJ$6:$AK$14,2,FALSE),'Eclass OPE Rates'!$A$26:$F$33,2,FALSE),0))</f>
        <v>0</v>
      </c>
      <c r="L67" s="214">
        <f>IF($C67="",0,ROUND(L26*VLOOKUP(VLOOKUP($C67,'SPS Internal Use Generic 5 yr'!$AJ$6:$AK$14,2,FALSE),'Eclass OPE Rates'!$A$26:$F$33,3,FALSE),0))</f>
        <v>0</v>
      </c>
      <c r="M67" s="214">
        <f>IF($C67="",0,ROUND(M26*VLOOKUP(VLOOKUP($C67,'SPS Internal Use Generic 5 yr'!$AJ$6:$AK$14,2,FALSE),'Eclass OPE Rates'!$A$26:$F$33,4,FALSE),0))</f>
        <v>0</v>
      </c>
      <c r="N67" s="214">
        <f>IF($C67="",0,ROUND(N26*VLOOKUP(VLOOKUP($C67,'SPS Internal Use Generic 5 yr'!$AJ$6:$AK$14,2,FALSE),'Eclass OPE Rates'!$A$26:$F$33,5,FALSE),0))</f>
        <v>0</v>
      </c>
      <c r="O67" s="214">
        <f>IF($C67="",0,ROUND(O26*VLOOKUP(VLOOKUP($C67,'SPS Internal Use Generic 5 yr'!$AJ$6:$AK$14,2,FALSE),'Eclass OPE Rates'!$A$26:$F$33,6,FALSE),0))</f>
        <v>0</v>
      </c>
      <c r="P67" s="191">
        <f t="shared" si="24"/>
        <v>0</v>
      </c>
    </row>
    <row r="68" spans="1:23" x14ac:dyDescent="0.2">
      <c r="A68" s="172"/>
      <c r="B68" s="185" t="str">
        <f t="shared" si="22"/>
        <v/>
      </c>
      <c r="C68" s="322" t="str">
        <f t="shared" si="23"/>
        <v/>
      </c>
      <c r="D68" s="187"/>
      <c r="E68" s="187"/>
      <c r="F68" s="187"/>
      <c r="G68" s="187"/>
      <c r="H68" s="187"/>
      <c r="J68" s="293" t="str">
        <f>IF(B68="","",VLOOKUP(VLOOKUP(C68,$AJ$6:$AK$14,2,FALSE),'Eclass OPE Rates'!$A$26:$F$33,2,FALSE))</f>
        <v/>
      </c>
      <c r="K68" s="214">
        <f>IF($C68="",0,ROUND(K27*VLOOKUP(VLOOKUP($C68,'SPS Internal Use Generic 5 yr'!$AJ$6:$AK$14,2,FALSE),'Eclass OPE Rates'!$A$26:$F$33,2,FALSE),0))</f>
        <v>0</v>
      </c>
      <c r="L68" s="214">
        <f>IF($C68="",0,ROUND(L27*VLOOKUP(VLOOKUP($C68,'SPS Internal Use Generic 5 yr'!$AJ$6:$AK$14,2,FALSE),'Eclass OPE Rates'!$A$26:$F$33,3,FALSE),0))</f>
        <v>0</v>
      </c>
      <c r="M68" s="214">
        <f>IF($C68="",0,ROUND(M27*VLOOKUP(VLOOKUP($C68,'SPS Internal Use Generic 5 yr'!$AJ$6:$AK$14,2,FALSE),'Eclass OPE Rates'!$A$26:$F$33,4,FALSE),0))</f>
        <v>0</v>
      </c>
      <c r="N68" s="214">
        <f>IF($C68="",0,ROUND(N27*VLOOKUP(VLOOKUP($C68,'SPS Internal Use Generic 5 yr'!$AJ$6:$AK$14,2,FALSE),'Eclass OPE Rates'!$A$26:$F$33,5,FALSE),0))</f>
        <v>0</v>
      </c>
      <c r="O68" s="214">
        <f>IF($C68="",0,ROUND(O27*VLOOKUP(VLOOKUP($C68,'SPS Internal Use Generic 5 yr'!$AJ$6:$AK$14,2,FALSE),'Eclass OPE Rates'!$A$26:$F$33,6,FALSE),0))</f>
        <v>0</v>
      </c>
      <c r="P68" s="191">
        <f t="shared" si="24"/>
        <v>0</v>
      </c>
      <c r="R68" s="319"/>
      <c r="S68" s="320"/>
      <c r="T68" s="320"/>
      <c r="U68" s="320"/>
      <c r="V68" s="320"/>
      <c r="W68" s="320"/>
    </row>
    <row r="69" spans="1:23" x14ac:dyDescent="0.2">
      <c r="A69" s="172"/>
      <c r="B69" s="185" t="str">
        <f t="shared" si="22"/>
        <v/>
      </c>
      <c r="C69" s="322" t="str">
        <f t="shared" si="23"/>
        <v/>
      </c>
      <c r="D69" s="187"/>
      <c r="E69" s="187"/>
      <c r="F69" s="187"/>
      <c r="G69" s="187"/>
      <c r="H69" s="187"/>
      <c r="J69" s="293" t="str">
        <f>IF(B69="","",VLOOKUP(VLOOKUP(C69,$AJ$6:$AK$14,2,FALSE),'Eclass OPE Rates'!$A$26:$F$33,2,FALSE))</f>
        <v/>
      </c>
      <c r="K69" s="214">
        <f>IF($C69="",0,ROUND(K28*VLOOKUP(VLOOKUP($C69,'SPS Internal Use Generic 5 yr'!$AJ$6:$AK$14,2,FALSE),'Eclass OPE Rates'!$A$26:$F$33,2,FALSE),0))</f>
        <v>0</v>
      </c>
      <c r="L69" s="214">
        <f>IF($C69="",0,ROUND(L28*VLOOKUP(VLOOKUP($C69,'SPS Internal Use Generic 5 yr'!$AJ$6:$AK$14,2,FALSE),'Eclass OPE Rates'!$A$26:$F$33,3,FALSE),0))</f>
        <v>0</v>
      </c>
      <c r="M69" s="214">
        <f>IF($C69="",0,ROUND(M28*VLOOKUP(VLOOKUP($C69,'SPS Internal Use Generic 5 yr'!$AJ$6:$AK$14,2,FALSE),'Eclass OPE Rates'!$A$26:$F$33,4,FALSE),0))</f>
        <v>0</v>
      </c>
      <c r="N69" s="214">
        <f>IF($C69="",0,ROUND(N28*VLOOKUP(VLOOKUP($C69,'SPS Internal Use Generic 5 yr'!$AJ$6:$AK$14,2,FALSE),'Eclass OPE Rates'!$A$26:$F$33,5,FALSE),0))</f>
        <v>0</v>
      </c>
      <c r="O69" s="214">
        <f>IF($C69="",0,ROUND(O28*VLOOKUP(VLOOKUP($C69,'SPS Internal Use Generic 5 yr'!$AJ$6:$AK$14,2,FALSE),'Eclass OPE Rates'!$A$26:$F$33,6,FALSE),0))</f>
        <v>0</v>
      </c>
      <c r="P69" s="191">
        <f t="shared" si="24"/>
        <v>0</v>
      </c>
      <c r="R69" s="319"/>
      <c r="S69" s="16"/>
      <c r="T69" s="16"/>
      <c r="U69" s="16"/>
      <c r="V69" s="16"/>
      <c r="W69" s="16"/>
    </row>
    <row r="70" spans="1:23" x14ac:dyDescent="0.2">
      <c r="A70" s="172"/>
      <c r="B70" s="185" t="str">
        <f t="shared" si="22"/>
        <v/>
      </c>
      <c r="C70" s="322" t="str">
        <f t="shared" si="23"/>
        <v/>
      </c>
      <c r="D70" s="187"/>
      <c r="E70" s="187"/>
      <c r="F70" s="187"/>
      <c r="G70" s="187"/>
      <c r="H70" s="187"/>
      <c r="J70" s="293" t="str">
        <f>IF(B70="","",VLOOKUP(VLOOKUP(C70,$AJ$6:$AK$14,2,FALSE),'Eclass OPE Rates'!$A$26:$F$33,2,FALSE))</f>
        <v/>
      </c>
      <c r="K70" s="214">
        <f>IF($C70="",0,ROUND(K29*VLOOKUP(VLOOKUP($C70,'SPS Internal Use Generic 5 yr'!$AJ$6:$AK$14,2,FALSE),'Eclass OPE Rates'!$A$26:$F$33,2,FALSE),0))</f>
        <v>0</v>
      </c>
      <c r="L70" s="214">
        <f>IF($C70="",0,ROUND(L29*VLOOKUP(VLOOKUP($C70,'SPS Internal Use Generic 5 yr'!$AJ$6:$AK$14,2,FALSE),'Eclass OPE Rates'!$A$26:$F$33,3,FALSE),0))</f>
        <v>0</v>
      </c>
      <c r="M70" s="214">
        <f>IF($C70="",0,ROUND(M29*VLOOKUP(VLOOKUP($C70,'SPS Internal Use Generic 5 yr'!$AJ$6:$AK$14,2,FALSE),'Eclass OPE Rates'!$A$26:$F$33,4,FALSE),0))</f>
        <v>0</v>
      </c>
      <c r="N70" s="214">
        <f>IF($C70="",0,ROUND(N29*VLOOKUP(VLOOKUP($C70,'SPS Internal Use Generic 5 yr'!$AJ$6:$AK$14,2,FALSE),'Eclass OPE Rates'!$A$26:$F$33,5,FALSE),0))</f>
        <v>0</v>
      </c>
      <c r="O70" s="214">
        <f>IF($C70="",0,ROUND(O29*VLOOKUP(VLOOKUP($C70,'SPS Internal Use Generic 5 yr'!$AJ$6:$AK$14,2,FALSE),'Eclass OPE Rates'!$A$26:$F$33,6,FALSE),0))</f>
        <v>0</v>
      </c>
      <c r="P70" s="191">
        <f t="shared" si="24"/>
        <v>0</v>
      </c>
      <c r="R70" s="321"/>
      <c r="S70" s="3"/>
      <c r="T70" s="3"/>
      <c r="U70" s="3"/>
      <c r="V70" s="3"/>
      <c r="W70" s="3"/>
    </row>
    <row r="71" spans="1:23" x14ac:dyDescent="0.2">
      <c r="A71" s="172"/>
      <c r="B71" s="185" t="str">
        <f t="shared" si="22"/>
        <v/>
      </c>
      <c r="C71" s="322" t="str">
        <f t="shared" si="23"/>
        <v/>
      </c>
      <c r="D71" s="187"/>
      <c r="E71" s="187"/>
      <c r="F71" s="187"/>
      <c r="G71" s="187"/>
      <c r="H71" s="187"/>
      <c r="J71" s="293" t="str">
        <f>IF(B71="","",VLOOKUP(VLOOKUP(C71,$AJ$6:$AK$14,2,FALSE),'Eclass OPE Rates'!$A$26:$F$33,2,FALSE))</f>
        <v/>
      </c>
      <c r="K71" s="214">
        <f>IF($C71="",0,ROUND(K30*VLOOKUP(VLOOKUP($C71,'SPS Internal Use Generic 5 yr'!$AJ$6:$AK$14,2,FALSE),'Eclass OPE Rates'!$A$26:$F$33,2,FALSE),0))</f>
        <v>0</v>
      </c>
      <c r="L71" s="214">
        <f>IF($C71="",0,ROUND(L30*VLOOKUP(VLOOKUP($C71,'SPS Internal Use Generic 5 yr'!$AJ$6:$AK$14,2,FALSE),'Eclass OPE Rates'!$A$26:$F$33,3,FALSE),0))</f>
        <v>0</v>
      </c>
      <c r="M71" s="214">
        <f>IF($C71="",0,ROUND(M30*VLOOKUP(VLOOKUP($C71,'SPS Internal Use Generic 5 yr'!$AJ$6:$AK$14,2,FALSE),'Eclass OPE Rates'!$A$26:$F$33,4,FALSE),0))</f>
        <v>0</v>
      </c>
      <c r="N71" s="214">
        <f>IF($C71="",0,ROUND(N30*VLOOKUP(VLOOKUP($C71,'SPS Internal Use Generic 5 yr'!$AJ$6:$AK$14,2,FALSE),'Eclass OPE Rates'!$A$26:$F$33,5,FALSE),0))</f>
        <v>0</v>
      </c>
      <c r="O71" s="214">
        <f>IF($C71="",0,ROUND(O30*VLOOKUP(VLOOKUP($C71,'SPS Internal Use Generic 5 yr'!$AJ$6:$AK$14,2,FALSE),'Eclass OPE Rates'!$A$26:$F$33,6,FALSE),0))</f>
        <v>0</v>
      </c>
      <c r="P71" s="191">
        <f t="shared" si="24"/>
        <v>0</v>
      </c>
      <c r="R71" s="321"/>
      <c r="S71" s="3"/>
      <c r="T71" s="3"/>
      <c r="U71" s="3"/>
      <c r="V71" s="3"/>
      <c r="W71" s="3"/>
    </row>
    <row r="72" spans="1:23" x14ac:dyDescent="0.2">
      <c r="A72" s="172"/>
      <c r="B72" s="171"/>
      <c r="C72" s="287"/>
      <c r="D72" s="215"/>
      <c r="E72" s="215"/>
      <c r="F72" s="215"/>
      <c r="G72" s="215"/>
      <c r="H72" s="215"/>
      <c r="I72" s="215"/>
      <c r="J72" s="215"/>
      <c r="K72" s="215"/>
      <c r="L72" s="215"/>
      <c r="M72" s="215"/>
      <c r="N72" s="215"/>
      <c r="O72" s="215"/>
      <c r="P72" s="198"/>
      <c r="R72" s="3"/>
      <c r="S72" s="3"/>
      <c r="T72" s="3"/>
      <c r="U72" s="3"/>
      <c r="V72" s="3"/>
      <c r="W72" s="3"/>
    </row>
    <row r="73" spans="1:23" x14ac:dyDescent="0.2">
      <c r="A73" s="172"/>
      <c r="B73" s="185" t="s">
        <v>45</v>
      </c>
      <c r="C73" s="322" t="s">
        <v>209</v>
      </c>
      <c r="D73" s="217"/>
      <c r="E73" s="217"/>
      <c r="F73" s="217"/>
      <c r="G73" s="217"/>
      <c r="H73" s="217"/>
      <c r="J73" s="293">
        <f>IF(B73="","",VLOOKUP(VLOOKUP(C73,$AJ$6:$AK$13,2,FALSE),'Eclass OPE Rates'!$A$26:$F$33,2,FALSE))</f>
        <v>3.3000000000000002E-2</v>
      </c>
      <c r="K73" s="214">
        <f>IF($C73="",0,ROUND(K32*VLOOKUP(VLOOKUP($C73,'SPS Internal Use Generic 5 yr'!$AJ$6:$AK$13,2,FALSE),'Eclass OPE Rates'!$A$26:$F$33,2,FALSE),0))</f>
        <v>0</v>
      </c>
      <c r="L73" s="214">
        <f>IF($C73="",0,ROUND(L32*VLOOKUP(VLOOKUP($C73,'SPS Internal Use Generic 5 yr'!$AJ$6:$AK$13,2,FALSE),'Eclass OPE Rates'!$A$26:$F$33,3,FALSE),0))</f>
        <v>0</v>
      </c>
      <c r="M73" s="214">
        <f>IF($C73="",0,ROUND(M32*VLOOKUP(VLOOKUP($C73,'SPS Internal Use Generic 5 yr'!$AJ$6:$AK$13,2,FALSE),'Eclass OPE Rates'!$A$26:$F$33,4,FALSE),0))</f>
        <v>0</v>
      </c>
      <c r="N73" s="214">
        <f>IF($C73="",0,ROUND(N32*VLOOKUP(VLOOKUP($C73,'SPS Internal Use Generic 5 yr'!$AJ$6:$AK$13,2,FALSE),'Eclass OPE Rates'!$A$26:$F$33,5,FALSE),0))</f>
        <v>0</v>
      </c>
      <c r="O73" s="214">
        <f>IF($C73="",0,ROUND(O32*VLOOKUP(VLOOKUP($C73,'SPS Internal Use Generic 5 yr'!$AJ$6:$AK$13,2,FALSE),'Eclass OPE Rates'!$A$26:$F$33,6,FALSE),0))</f>
        <v>0</v>
      </c>
      <c r="P73" s="191">
        <f>SUM(K73:O73)</f>
        <v>0</v>
      </c>
      <c r="R73" s="3"/>
      <c r="S73" s="3"/>
      <c r="T73" s="3"/>
      <c r="U73" s="3"/>
      <c r="V73" s="3"/>
      <c r="W73" s="3"/>
    </row>
    <row r="74" spans="1:23" x14ac:dyDescent="0.2">
      <c r="A74" s="172"/>
      <c r="B74" s="185" t="s">
        <v>129</v>
      </c>
      <c r="C74" s="322" t="s">
        <v>209</v>
      </c>
      <c r="D74" s="217"/>
      <c r="E74" s="217"/>
      <c r="F74" s="217"/>
      <c r="G74" s="217"/>
      <c r="H74" s="217"/>
      <c r="J74" s="293">
        <f>IF(B74="","",VLOOKUP(VLOOKUP(C74,$AJ$6:$AK$13,2,FALSE),'Eclass OPE Rates'!$A$26:$F$33,2,FALSE))</f>
        <v>3.3000000000000002E-2</v>
      </c>
      <c r="K74" s="214">
        <f>IF($C74="",0,ROUND(K33*VLOOKUP(VLOOKUP($C74,'SPS Internal Use Generic 5 yr'!$AJ$6:$AK$13,2,FALSE),'Eclass OPE Rates'!$A$26:$F$33,2,FALSE),0))</f>
        <v>0</v>
      </c>
      <c r="L74" s="214">
        <f>IF($C74="",0,ROUND(L33*VLOOKUP(VLOOKUP($C74,'SPS Internal Use Generic 5 yr'!$AJ$6:$AK$13,2,FALSE),'Eclass OPE Rates'!$A$26:$F$33,3,FALSE),0))</f>
        <v>0</v>
      </c>
      <c r="M74" s="214">
        <f>IF($C74="",0,ROUND(M33*VLOOKUP(VLOOKUP($C74,'SPS Internal Use Generic 5 yr'!$AJ$6:$AK$13,2,FALSE),'Eclass OPE Rates'!$A$26:$F$33,4,FALSE),0))</f>
        <v>0</v>
      </c>
      <c r="N74" s="214">
        <f>IF($C74="",0,ROUND(N33*VLOOKUP(VLOOKUP($C74,'SPS Internal Use Generic 5 yr'!$AJ$6:$AK$13,2,FALSE),'Eclass OPE Rates'!$A$26:$F$33,5,FALSE),0))</f>
        <v>0</v>
      </c>
      <c r="O74" s="214">
        <f>IF($C74="",0,ROUND(O33*VLOOKUP(VLOOKUP($C74,'SPS Internal Use Generic 5 yr'!$AJ$6:$AK$13,2,FALSE),'Eclass OPE Rates'!$A$26:$F$33,6,FALSE),0))</f>
        <v>0</v>
      </c>
      <c r="P74" s="191">
        <f>SUM(K74:O74)</f>
        <v>0</v>
      </c>
      <c r="R74" s="3"/>
      <c r="S74" s="3"/>
      <c r="T74" s="3"/>
      <c r="U74" s="3"/>
      <c r="V74" s="3"/>
      <c r="W74" s="3"/>
    </row>
    <row r="75" spans="1:23" x14ac:dyDescent="0.2">
      <c r="A75" s="172"/>
      <c r="B75" s="171"/>
      <c r="C75" s="322"/>
      <c r="D75" s="215"/>
      <c r="E75" s="215"/>
      <c r="F75" s="215"/>
      <c r="G75" s="215"/>
      <c r="H75" s="215"/>
      <c r="I75" s="215"/>
      <c r="J75" s="215"/>
      <c r="K75" s="215"/>
      <c r="L75" s="215"/>
      <c r="M75" s="215"/>
      <c r="N75" s="215"/>
      <c r="O75" s="215"/>
      <c r="P75" s="198"/>
      <c r="R75" s="3"/>
      <c r="S75" s="3"/>
      <c r="T75" s="3"/>
      <c r="U75" s="3"/>
      <c r="V75" s="3"/>
      <c r="W75" s="3"/>
    </row>
    <row r="76" spans="1:23" x14ac:dyDescent="0.2">
      <c r="A76" s="172"/>
      <c r="B76" s="297" t="s">
        <v>195</v>
      </c>
      <c r="C76" s="327" t="s">
        <v>209</v>
      </c>
      <c r="D76" s="298"/>
      <c r="E76" s="298"/>
      <c r="F76" s="298"/>
      <c r="G76" s="298"/>
      <c r="H76" s="298"/>
      <c r="J76" s="299">
        <f>IF(B76="","",VLOOKUP(VLOOKUP(C76,$AJ$6:$AK$13,2,FALSE),'Eclass OPE Rates'!$A$26:$F$33,2,FALSE))</f>
        <v>3.3000000000000002E-2</v>
      </c>
      <c r="K76" s="214">
        <f>ROUND(VLOOKUP(VLOOKUP($C76,$AJ$6:$AK$13,2,FALSE),'Eclass OPE Rates'!$A$26:$F$33,2,FALSE)*SUM(K37:K45),0)+SUMIF($D$39:$D$47,"Total Academic Terms",E39:E47)*(U6+U8)+SUMIF($D$39:$D$47,"Total Summer Terms",E39:E47)*(U7+U9)</f>
        <v>0</v>
      </c>
      <c r="L76" s="214">
        <f>IF($A$1&gt;1,ROUND(VLOOKUP(VLOOKUP($C76,$AJ$6:$AK$13,2,FALSE),'Eclass OPE Rates'!$A$26:$F$33,3,FALSE)*SUM(L37:L45),0)+SUMIF($D$39:$D$47,"Total Academic Terms",F39:F47)*(V6+V8)+SUMIF($D$39:$D$47,"Total Summer Terms",F39:F47)*(V7+V9),0)</f>
        <v>0</v>
      </c>
      <c r="M76" s="214">
        <f>IF($A$1&gt;2,ROUND(VLOOKUP(VLOOKUP($C76,$AJ$6:$AK$13,2,FALSE),'Eclass OPE Rates'!$A$26:$F$33,4,FALSE)*SUM(M37:M45),0)+SUMIF($D$39:$D$47,"Total Academic Terms",G39:G47)*(W6+W8)+SUMIF($D$39:$D$47,"Total Summer Terms",G39:G47)*(W7+W9),0)</f>
        <v>0</v>
      </c>
      <c r="N76" s="214">
        <f>IF($A$1&gt;3,ROUND(VLOOKUP(VLOOKUP($C76,$AJ$6:$AK$13,2,FALSE),'Eclass OPE Rates'!$A$26:$F$33,5,FALSE)*SUM(N37:N45),0)+SUMIF($D$39:$D$47,"Total Academic Terms",H39:H47)*(X6+X8)+SUMIF($D$39:$D$47,"Total Summer Terms",H39:H47)*(X7+X9),0)</f>
        <v>0</v>
      </c>
      <c r="O76" s="214">
        <f>IF($A$1&gt;4,ROUND(VLOOKUP(VLOOKUP($C76,$AJ$6:$AK$13,2,FALSE),'Eclass OPE Rates'!$A$26:$F$33,6,FALSE)*SUM(O37:O45),0)+SUMIF($D$39:$D$47,"Total Academic Terms",I39:I47)*(Y6+Y8)+SUMIF($D$39:$D$47,"Total Summer Terms",I39:I47)*(Y7+Y9),0)</f>
        <v>0</v>
      </c>
      <c r="P76" s="300">
        <f>SUM(K76:O76)</f>
        <v>0</v>
      </c>
      <c r="R76" s="3"/>
      <c r="S76" s="3"/>
      <c r="T76" s="3"/>
      <c r="U76" s="3"/>
      <c r="V76" s="3"/>
      <c r="W76" s="3"/>
    </row>
    <row r="77" spans="1:23" ht="13.5" x14ac:dyDescent="0.25">
      <c r="A77" s="220"/>
      <c r="B77" s="208"/>
      <c r="C77" s="208"/>
      <c r="D77" s="221"/>
      <c r="E77" s="221"/>
      <c r="F77" s="221"/>
      <c r="G77" s="221"/>
      <c r="H77" s="221"/>
      <c r="I77" s="208"/>
      <c r="J77" s="208" t="s">
        <v>5</v>
      </c>
      <c r="K77" s="209">
        <f>SUM(K52:K76)</f>
        <v>0</v>
      </c>
      <c r="L77" s="209">
        <f>IF($A$1&gt;1,SUM(L52:L76),0)</f>
        <v>0</v>
      </c>
      <c r="M77" s="209">
        <f>IF($A$1&gt;2,SUM(M52:M76),0)</f>
        <v>0</v>
      </c>
      <c r="N77" s="209">
        <f>IF($A$1&gt;3,SUM(N52:N76),0)</f>
        <v>0</v>
      </c>
      <c r="O77" s="209">
        <f>IF($A$1&gt;4,SUM(O52:O76),0)</f>
        <v>0</v>
      </c>
      <c r="P77" s="210">
        <f>SUM(K77:O77)</f>
        <v>0</v>
      </c>
      <c r="Q77" s="13"/>
      <c r="R77" s="3"/>
      <c r="S77" s="3"/>
    </row>
    <row r="78" spans="1:23" x14ac:dyDescent="0.2">
      <c r="A78" s="172"/>
      <c r="B78" s="222"/>
      <c r="C78" s="222"/>
      <c r="D78" s="222"/>
      <c r="E78" s="222"/>
      <c r="F78" s="222"/>
      <c r="G78" s="222"/>
      <c r="H78" s="222"/>
      <c r="I78" s="223"/>
      <c r="J78" s="223"/>
      <c r="K78" s="224"/>
      <c r="L78" s="224"/>
      <c r="M78" s="224"/>
      <c r="N78" s="224"/>
      <c r="O78" s="224"/>
      <c r="P78" s="191"/>
      <c r="R78" s="3"/>
      <c r="S78" s="3"/>
    </row>
    <row r="79" spans="1:23" x14ac:dyDescent="0.2">
      <c r="A79" s="172"/>
      <c r="B79" s="225" t="s">
        <v>14</v>
      </c>
      <c r="C79" s="225"/>
      <c r="D79" s="225"/>
      <c r="E79" s="225"/>
      <c r="F79" s="225"/>
      <c r="G79" s="225"/>
      <c r="H79" s="225"/>
      <c r="I79" s="226"/>
      <c r="J79" s="226"/>
      <c r="K79" s="227">
        <f>SUM(K48,K77)</f>
        <v>0</v>
      </c>
      <c r="L79" s="227">
        <f>IF($A$1&gt;1,SUM(L48,L77),0)</f>
        <v>0</v>
      </c>
      <c r="M79" s="227">
        <f>IF($A$1&gt;2,SUM(M48,M77),0)</f>
        <v>0</v>
      </c>
      <c r="N79" s="227">
        <f>IF($A$1&gt;3,SUM(N48,N77),0)</f>
        <v>0</v>
      </c>
      <c r="O79" s="227">
        <f>IF($A$1&gt;4,SUM(O48,O77),0)</f>
        <v>0</v>
      </c>
      <c r="P79" s="228">
        <f>SUM(K79:O79)</f>
        <v>0</v>
      </c>
      <c r="Q79" s="13"/>
      <c r="T79" s="3"/>
    </row>
    <row r="80" spans="1:23" x14ac:dyDescent="0.2">
      <c r="A80" s="172"/>
      <c r="B80" s="222"/>
      <c r="C80" s="222"/>
      <c r="D80" s="222"/>
      <c r="E80" s="222"/>
      <c r="F80" s="222"/>
      <c r="G80" s="222"/>
      <c r="H80" s="222"/>
      <c r="I80" s="194"/>
      <c r="J80" s="194"/>
      <c r="K80" s="229"/>
      <c r="L80" s="229"/>
      <c r="M80" s="229"/>
      <c r="N80" s="229"/>
      <c r="O80" s="229"/>
      <c r="P80" s="230"/>
    </row>
    <row r="81" spans="1:18" x14ac:dyDescent="0.2">
      <c r="A81" s="172"/>
      <c r="B81" s="231" t="s">
        <v>277</v>
      </c>
      <c r="C81" s="231"/>
      <c r="D81" s="212"/>
      <c r="E81" s="212"/>
      <c r="F81" s="212"/>
      <c r="G81" s="212"/>
      <c r="H81" s="212"/>
      <c r="I81" s="194"/>
      <c r="J81" s="194"/>
      <c r="K81" s="193"/>
      <c r="L81" s="193"/>
      <c r="M81" s="193"/>
      <c r="N81" s="193"/>
      <c r="O81" s="193"/>
      <c r="P81" s="236"/>
      <c r="Q81" s="88"/>
    </row>
    <row r="82" spans="1:18" x14ac:dyDescent="0.2">
      <c r="A82" s="172"/>
      <c r="B82" s="212"/>
      <c r="C82" s="212"/>
      <c r="D82" s="222"/>
      <c r="E82" s="222"/>
      <c r="F82" s="222"/>
      <c r="G82" s="222"/>
      <c r="H82" s="222"/>
      <c r="I82" s="194"/>
      <c r="J82" s="194"/>
      <c r="K82" s="193">
        <v>0</v>
      </c>
      <c r="L82" s="193">
        <f>IF($A$1&gt;1,ROUND($K82*$U$15,0),0)</f>
        <v>0</v>
      </c>
      <c r="M82" s="193">
        <f>IF($A$1&gt;2,ROUND($K82*$U$15^2,0),0)</f>
        <v>0</v>
      </c>
      <c r="N82" s="193">
        <f>IF($A$1&gt;3,ROUND($K82*$U$15^3,0),0)</f>
        <v>0</v>
      </c>
      <c r="O82" s="193">
        <f>IF($A$1&gt;4,ROUND($K82*$U$15^4,0),0)</f>
        <v>0</v>
      </c>
      <c r="P82" s="191">
        <f>SUM(K82:O82)</f>
        <v>0</v>
      </c>
      <c r="Q82" s="88"/>
    </row>
    <row r="83" spans="1:18" x14ac:dyDescent="0.2">
      <c r="A83" s="172"/>
      <c r="B83" s="212"/>
      <c r="C83" s="212"/>
      <c r="D83" s="222"/>
      <c r="E83" s="222"/>
      <c r="F83" s="222"/>
      <c r="G83" s="222"/>
      <c r="H83" s="222"/>
      <c r="I83" s="194"/>
      <c r="J83" s="194"/>
      <c r="K83" s="218">
        <v>0</v>
      </c>
      <c r="L83" s="193">
        <f>IF($A$1&gt;1,ROUND($K83*$U$15,0),0)</f>
        <v>0</v>
      </c>
      <c r="M83" s="193">
        <f>IF($A$1&gt;2,ROUND($K83*$U$15^2,0),0)</f>
        <v>0</v>
      </c>
      <c r="N83" s="193">
        <f>IF($A$1&gt;3,ROUND($K83*$U$15^3,0),0)</f>
        <v>0</v>
      </c>
      <c r="O83" s="193">
        <f>IF($A$1&gt;4,ROUND($K83*$U$15^4,0),0)</f>
        <v>0</v>
      </c>
      <c r="P83" s="219">
        <f>SUM(K83:O83)</f>
        <v>0</v>
      </c>
    </row>
    <row r="84" spans="1:18" ht="13.5" x14ac:dyDescent="0.25">
      <c r="A84" s="172"/>
      <c r="B84" s="222"/>
      <c r="C84" s="222"/>
      <c r="D84" s="222"/>
      <c r="E84" s="222"/>
      <c r="F84" s="222"/>
      <c r="G84" s="222"/>
      <c r="H84" s="222"/>
      <c r="I84" s="232"/>
      <c r="J84" s="232" t="s">
        <v>18</v>
      </c>
      <c r="K84" s="233">
        <f>SUM(K82:K83)</f>
        <v>0</v>
      </c>
      <c r="L84" s="233">
        <f>IF($A$1&gt;1,SUM(L82:L83),0)</f>
        <v>0</v>
      </c>
      <c r="M84" s="233">
        <f>IF($A$1&gt;2,SUM(M82:M83),0)</f>
        <v>0</v>
      </c>
      <c r="N84" s="233">
        <f>IF($A$1&gt;3,SUM(N82:N83),0)</f>
        <v>0</v>
      </c>
      <c r="O84" s="233">
        <f>IF($A$1&gt;4,SUM(O82:O83),0)</f>
        <v>0</v>
      </c>
      <c r="P84" s="235">
        <f>SUM(K84:O84)</f>
        <v>0</v>
      </c>
    </row>
    <row r="85" spans="1:18" x14ac:dyDescent="0.2">
      <c r="A85" s="172"/>
      <c r="B85" s="185"/>
      <c r="C85" s="185"/>
      <c r="D85" s="185"/>
      <c r="E85" s="185"/>
      <c r="F85" s="185"/>
      <c r="G85" s="185"/>
      <c r="H85" s="185"/>
      <c r="I85" s="185"/>
      <c r="J85" s="185"/>
      <c r="K85" s="193"/>
      <c r="L85" s="193"/>
      <c r="M85" s="193"/>
      <c r="N85" s="193"/>
      <c r="O85" s="193"/>
      <c r="P85" s="191"/>
    </row>
    <row r="86" spans="1:18" x14ac:dyDescent="0.2">
      <c r="A86" s="172"/>
      <c r="B86" s="194" t="s">
        <v>6</v>
      </c>
      <c r="C86" s="194"/>
      <c r="D86" s="185"/>
      <c r="E86" s="185"/>
      <c r="F86" s="185"/>
      <c r="G86" s="185"/>
      <c r="H86" s="185"/>
      <c r="I86" s="185"/>
      <c r="J86" s="185"/>
      <c r="K86" s="193"/>
      <c r="L86" s="193"/>
      <c r="M86" s="193"/>
      <c r="N86" s="193"/>
      <c r="O86" s="193"/>
      <c r="P86" s="236"/>
    </row>
    <row r="87" spans="1:18" x14ac:dyDescent="0.2">
      <c r="A87" s="172"/>
      <c r="B87" s="377" t="s">
        <v>16</v>
      </c>
      <c r="C87" s="237"/>
      <c r="D87" s="185"/>
      <c r="E87" s="185"/>
      <c r="F87" s="185"/>
      <c r="G87" s="185"/>
      <c r="H87" s="185"/>
      <c r="I87" s="185"/>
      <c r="J87" s="185"/>
      <c r="K87" s="193">
        <v>0</v>
      </c>
      <c r="L87" s="193">
        <f>IF($A$1&gt;1,ROUND($K87*$U$15,0),0)</f>
        <v>0</v>
      </c>
      <c r="M87" s="193">
        <f>IF($A$1&gt;2,ROUND($K87*$U$15^2,0),0)</f>
        <v>0</v>
      </c>
      <c r="N87" s="193">
        <f>IF($A$1&gt;3,ROUND($K87*$U$15^3,0),0)</f>
        <v>0</v>
      </c>
      <c r="O87" s="193">
        <f>IF($A$1&gt;4,ROUND($K87*$U$15^4,0),0)</f>
        <v>0</v>
      </c>
      <c r="P87" s="191">
        <f>SUM(K87:O87)</f>
        <v>0</v>
      </c>
    </row>
    <row r="88" spans="1:18" x14ac:dyDescent="0.2">
      <c r="A88" s="172"/>
      <c r="B88" s="378"/>
      <c r="C88" s="212"/>
      <c r="D88" s="185"/>
      <c r="E88" s="185"/>
      <c r="F88" s="185"/>
      <c r="G88" s="185"/>
      <c r="H88" s="185"/>
      <c r="I88" s="185"/>
      <c r="J88" s="185"/>
      <c r="K88" s="193"/>
      <c r="L88" s="193">
        <f>IF($A$1&gt;1,ROUND($K88*$U$15,0),0)</f>
        <v>0</v>
      </c>
      <c r="M88" s="193">
        <f>IF($A$1&gt;2,ROUND($K88*$U$15^2,0),0)</f>
        <v>0</v>
      </c>
      <c r="N88" s="193">
        <f>IF($A$1&gt;3,ROUND($K88*$U$15^3,0),0)</f>
        <v>0</v>
      </c>
      <c r="O88" s="193">
        <f>IF($A$1&gt;4,ROUND($K88*$U$15^4,0),0)</f>
        <v>0</v>
      </c>
      <c r="P88" s="191">
        <f>SUM(K88:O88)</f>
        <v>0</v>
      </c>
    </row>
    <row r="89" spans="1:18" x14ac:dyDescent="0.2">
      <c r="A89" s="172"/>
      <c r="B89" s="377" t="s">
        <v>17</v>
      </c>
      <c r="C89" s="237"/>
      <c r="D89" s="222"/>
      <c r="E89" s="222"/>
      <c r="F89" s="222"/>
      <c r="G89" s="222"/>
      <c r="H89" s="222"/>
      <c r="I89" s="185"/>
      <c r="J89" s="185"/>
      <c r="K89" s="193">
        <v>0</v>
      </c>
      <c r="L89" s="193">
        <f>IF($A$1&gt;1,ROUND($K89*$U$15,0),0)</f>
        <v>0</v>
      </c>
      <c r="M89" s="193">
        <f>IF($A$1&gt;2,ROUND($K89*$U$15^2,0),0)</f>
        <v>0</v>
      </c>
      <c r="N89" s="193">
        <f>IF($A$1&gt;3,ROUND($K89*$U$15^3,0),0)</f>
        <v>0</v>
      </c>
      <c r="O89" s="193">
        <f>IF($A$1&gt;4,ROUND($K89*$U$15^4,0),0)</f>
        <v>0</v>
      </c>
      <c r="P89" s="191">
        <f>SUM(K89:O89)</f>
        <v>0</v>
      </c>
    </row>
    <row r="90" spans="1:18" x14ac:dyDescent="0.2">
      <c r="A90" s="172"/>
      <c r="B90" s="212"/>
      <c r="C90" s="212"/>
      <c r="D90" s="222"/>
      <c r="E90" s="222"/>
      <c r="F90" s="222"/>
      <c r="G90" s="222"/>
      <c r="H90" s="222"/>
      <c r="I90" s="185"/>
      <c r="J90" s="185"/>
      <c r="K90" s="218"/>
      <c r="L90" s="218">
        <f>IF($A$1&gt;1,ROUND($K90*$U$15,0),0)</f>
        <v>0</v>
      </c>
      <c r="M90" s="218">
        <f>IF($A$1&gt;2,ROUND($K90*$U$15^2,0),0)</f>
        <v>0</v>
      </c>
      <c r="N90" s="218">
        <f>IF($A$1&gt;3,ROUND($K90*$U$15^3,0),0)</f>
        <v>0</v>
      </c>
      <c r="O90" s="218">
        <f>IF($A$1&gt;4,ROUND($K90*$U$15^4,0),0)</f>
        <v>0</v>
      </c>
      <c r="P90" s="219">
        <f>SUM(K90:O90)</f>
        <v>0</v>
      </c>
      <c r="Q90" s="1" t="s">
        <v>28</v>
      </c>
    </row>
    <row r="91" spans="1:18" ht="13.5" x14ac:dyDescent="0.25">
      <c r="A91" s="172"/>
      <c r="B91" s="212"/>
      <c r="C91" s="212"/>
      <c r="D91" s="222"/>
      <c r="E91" s="222"/>
      <c r="F91" s="222"/>
      <c r="G91" s="222"/>
      <c r="H91" s="222"/>
      <c r="I91" s="232"/>
      <c r="J91" s="232" t="s">
        <v>19</v>
      </c>
      <c r="K91" s="233">
        <f>SUM(K87:K90)</f>
        <v>0</v>
      </c>
      <c r="L91" s="233">
        <f>IF($A$1&gt;1,SUM(L87:L90),0)</f>
        <v>0</v>
      </c>
      <c r="M91" s="233">
        <f>IF($A$1&gt;2,SUM(M87:M90),0)</f>
        <v>0</v>
      </c>
      <c r="N91" s="233">
        <f>IF($A$1&gt;3,SUM(N87:N90),0)</f>
        <v>0</v>
      </c>
      <c r="O91" s="233">
        <f>IF($A$1&gt;4,SUM(O87:O90),0)</f>
        <v>0</v>
      </c>
      <c r="P91" s="235">
        <f>SUM(K91:O91)</f>
        <v>0</v>
      </c>
    </row>
    <row r="92" spans="1:18" x14ac:dyDescent="0.2">
      <c r="A92" s="172"/>
      <c r="B92" s="222"/>
      <c r="C92" s="222"/>
      <c r="D92" s="222"/>
      <c r="E92" s="222"/>
      <c r="F92" s="222"/>
      <c r="G92" s="222"/>
      <c r="H92" s="222"/>
      <c r="I92" s="185"/>
      <c r="J92" s="185"/>
      <c r="K92" s="193"/>
      <c r="L92" s="224"/>
      <c r="M92" s="224"/>
      <c r="N92" s="224"/>
      <c r="O92" s="224"/>
      <c r="P92" s="191"/>
    </row>
    <row r="93" spans="1:18" x14ac:dyDescent="0.2">
      <c r="A93" s="172"/>
      <c r="B93" s="222"/>
      <c r="C93" s="222"/>
      <c r="D93" s="222"/>
      <c r="E93" s="222"/>
      <c r="F93" s="222"/>
      <c r="G93" s="222"/>
      <c r="H93" s="222"/>
      <c r="I93" s="185"/>
      <c r="J93" s="185"/>
      <c r="K93" s="193"/>
      <c r="L93" s="224"/>
      <c r="M93" s="224"/>
      <c r="N93" s="224"/>
      <c r="O93" s="224"/>
      <c r="P93" s="191"/>
    </row>
    <row r="94" spans="1:18" x14ac:dyDescent="0.2">
      <c r="A94" s="172"/>
      <c r="B94" s="231" t="s">
        <v>244</v>
      </c>
      <c r="C94" s="212"/>
      <c r="D94" s="212"/>
      <c r="E94" s="212"/>
      <c r="F94" s="212"/>
      <c r="G94" s="212"/>
      <c r="H94" s="212"/>
      <c r="I94" s="185"/>
      <c r="J94" s="185"/>
      <c r="K94" s="193"/>
      <c r="L94" s="224"/>
      <c r="M94" s="224"/>
      <c r="N94" s="224"/>
      <c r="O94" s="224"/>
      <c r="P94" s="191"/>
      <c r="R94" s="15" t="s">
        <v>137</v>
      </c>
    </row>
    <row r="95" spans="1:18" x14ac:dyDescent="0.2">
      <c r="A95" s="172"/>
      <c r="B95" s="378" t="s">
        <v>9</v>
      </c>
      <c r="C95" s="212"/>
      <c r="D95" s="212"/>
      <c r="E95" s="212"/>
      <c r="F95" s="212"/>
      <c r="G95" s="212"/>
      <c r="H95" s="212"/>
      <c r="I95" s="185"/>
      <c r="J95" s="185"/>
      <c r="K95" s="193">
        <v>0</v>
      </c>
      <c r="L95" s="193">
        <f>IF($A$1&gt;1,ROUND(K95*$U$15,0),0)</f>
        <v>0</v>
      </c>
      <c r="M95" s="193">
        <f>IF($A$1&gt;2,ROUND(K95*$U$15^2,0),0)</f>
        <v>0</v>
      </c>
      <c r="N95" s="193">
        <f>IF($A$1&gt;3,ROUND(K95*$U$15^3,0),0)</f>
        <v>0</v>
      </c>
      <c r="O95" s="193">
        <f>IF($A$1&gt;4,ROUND(K95*$U$15^4,0),0)</f>
        <v>0</v>
      </c>
      <c r="P95" s="191">
        <f>SUM(K95:O95)</f>
        <v>0</v>
      </c>
      <c r="R95" s="1" t="s">
        <v>119</v>
      </c>
    </row>
    <row r="96" spans="1:18" x14ac:dyDescent="0.2">
      <c r="A96" s="172"/>
      <c r="B96" s="378" t="s">
        <v>10</v>
      </c>
      <c r="C96" s="212"/>
      <c r="D96" s="212"/>
      <c r="E96" s="212"/>
      <c r="F96" s="212"/>
      <c r="G96" s="212"/>
      <c r="H96" s="212"/>
      <c r="I96" s="185"/>
      <c r="J96" s="185"/>
      <c r="K96" s="193">
        <v>0</v>
      </c>
      <c r="L96" s="193">
        <f>IF($A$1&gt;1,ROUND(K96*$U$15,0),0)</f>
        <v>0</v>
      </c>
      <c r="M96" s="193">
        <f>IF($A$1&gt;2,ROUND(K96*$U$15^2,0),0)</f>
        <v>0</v>
      </c>
      <c r="N96" s="193">
        <f>IF($A$1&gt;3,ROUND(K96*$U$15^3,0),0)</f>
        <v>0</v>
      </c>
      <c r="O96" s="193">
        <f>IF($A$1&gt;4,ROUND(K96*$U$15^4,0),0)</f>
        <v>0</v>
      </c>
      <c r="P96" s="191">
        <f>SUM(K96:O96)</f>
        <v>0</v>
      </c>
      <c r="R96" s="1" t="s">
        <v>120</v>
      </c>
    </row>
    <row r="97" spans="1:28" x14ac:dyDescent="0.2">
      <c r="A97" s="172"/>
      <c r="B97" s="378" t="s">
        <v>11</v>
      </c>
      <c r="C97" s="212"/>
      <c r="D97" s="212"/>
      <c r="E97" s="212"/>
      <c r="F97" s="212"/>
      <c r="G97" s="212"/>
      <c r="H97" s="212"/>
      <c r="I97" s="185"/>
      <c r="J97" s="185"/>
      <c r="K97" s="193">
        <v>0</v>
      </c>
      <c r="L97" s="193">
        <f>IF($A$1&gt;1,ROUND(K97*$U$15,0),0)</f>
        <v>0</v>
      </c>
      <c r="M97" s="193">
        <f>IF($A$1&gt;2,ROUND(K97*$U$15^2,0),0)</f>
        <v>0</v>
      </c>
      <c r="N97" s="193">
        <f>IF($A$1&gt;3,ROUND(K97*$U$15^3,0),0)</f>
        <v>0</v>
      </c>
      <c r="O97" s="193">
        <f>IF($A$1&gt;4,ROUND(K97*$U$15^4,0),0)</f>
        <v>0</v>
      </c>
      <c r="P97" s="191">
        <f>SUM(K97:O97)</f>
        <v>0</v>
      </c>
      <c r="Q97" s="3"/>
      <c r="R97" s="1" t="s">
        <v>121</v>
      </c>
    </row>
    <row r="98" spans="1:28" x14ac:dyDescent="0.2">
      <c r="A98" s="172"/>
      <c r="B98" s="378" t="s">
        <v>12</v>
      </c>
      <c r="C98" s="212"/>
      <c r="D98" s="212"/>
      <c r="E98" s="212"/>
      <c r="F98" s="212"/>
      <c r="G98" s="212"/>
      <c r="H98" s="212"/>
      <c r="I98" s="185"/>
      <c r="J98" s="185"/>
      <c r="K98" s="218">
        <v>0</v>
      </c>
      <c r="L98" s="193">
        <f>IF($A$1&gt;1,ROUND(K98*$U$15,0),0)</f>
        <v>0</v>
      </c>
      <c r="M98" s="193">
        <f>IF($A$1&gt;2,ROUND(K98*$U$15^2,0),0)</f>
        <v>0</v>
      </c>
      <c r="N98" s="193">
        <f>IF($A$1&gt;3,ROUND(K98*$U$15^3,0),0)</f>
        <v>0</v>
      </c>
      <c r="O98" s="193">
        <f>IF($A$1&gt;4,ROUND(K98*$U$15^4,0),0)</f>
        <v>0</v>
      </c>
      <c r="P98" s="219">
        <f>SUM(K98:O98)</f>
        <v>0</v>
      </c>
      <c r="R98" s="15" t="s">
        <v>135</v>
      </c>
    </row>
    <row r="99" spans="1:28" ht="13.5" x14ac:dyDescent="0.25">
      <c r="A99" s="172"/>
      <c r="B99" s="237"/>
      <c r="C99" s="237"/>
      <c r="D99" s="237"/>
      <c r="E99" s="252"/>
      <c r="F99" s="252"/>
      <c r="G99" s="252"/>
      <c r="H99" s="252"/>
      <c r="I99" s="232"/>
      <c r="J99" s="232" t="s">
        <v>13</v>
      </c>
      <c r="K99" s="233">
        <f>SUM(K95:K98)</f>
        <v>0</v>
      </c>
      <c r="L99" s="233">
        <f>IF($A$1&gt;1,SUM(L95:L98),0)</f>
        <v>0</v>
      </c>
      <c r="M99" s="233">
        <f>IF($A$1&gt;2,SUM(M95:M98),0)</f>
        <v>0</v>
      </c>
      <c r="N99" s="233">
        <f>IF($A$1&gt;3,SUM(N95:N98),0)</f>
        <v>0</v>
      </c>
      <c r="O99" s="233">
        <f>IF($A$1&gt;4,SUM(O95:O98),0)</f>
        <v>0</v>
      </c>
      <c r="P99" s="235">
        <f>SUM(K99:O99)</f>
        <v>0</v>
      </c>
      <c r="R99" s="1" t="s">
        <v>136</v>
      </c>
    </row>
    <row r="100" spans="1:28" x14ac:dyDescent="0.2">
      <c r="A100" s="379"/>
      <c r="B100" s="380"/>
      <c r="C100" s="380"/>
      <c r="D100" s="380"/>
      <c r="E100" s="380"/>
      <c r="F100" s="380"/>
      <c r="G100" s="380"/>
      <c r="H100" s="380"/>
      <c r="I100" s="297"/>
      <c r="J100" s="297"/>
      <c r="K100" s="218"/>
      <c r="L100" s="381"/>
      <c r="M100" s="381"/>
      <c r="N100" s="381"/>
      <c r="O100" s="381"/>
      <c r="P100" s="219"/>
      <c r="Q100" s="139"/>
      <c r="R100" s="139"/>
      <c r="S100" s="139"/>
      <c r="T100" s="139"/>
      <c r="U100" s="139"/>
      <c r="V100" s="139"/>
      <c r="W100" s="139"/>
      <c r="X100" s="139"/>
      <c r="Y100" s="139"/>
      <c r="Z100" s="139"/>
      <c r="AA100" s="139"/>
      <c r="AB100" s="139"/>
    </row>
    <row r="101" spans="1:28" x14ac:dyDescent="0.2">
      <c r="A101" s="172"/>
      <c r="B101" s="231" t="s">
        <v>245</v>
      </c>
      <c r="C101" s="231"/>
      <c r="D101" s="172"/>
      <c r="E101" s="172"/>
      <c r="F101" s="172"/>
      <c r="G101" s="172"/>
      <c r="H101" s="172"/>
      <c r="I101" s="172"/>
      <c r="J101" s="172"/>
      <c r="K101" s="193"/>
      <c r="L101" s="193"/>
      <c r="M101" s="193"/>
      <c r="N101" s="193"/>
      <c r="O101" s="193"/>
      <c r="P101" s="191"/>
    </row>
    <row r="102" spans="1:28" x14ac:dyDescent="0.2">
      <c r="A102" s="172"/>
      <c r="B102" s="231"/>
      <c r="C102" s="231"/>
      <c r="D102" s="172"/>
      <c r="E102" s="172"/>
      <c r="F102" s="172"/>
      <c r="G102" s="172"/>
      <c r="H102" s="172"/>
      <c r="I102" s="172"/>
      <c r="J102" s="172"/>
      <c r="K102" s="193"/>
      <c r="L102" s="193"/>
      <c r="M102" s="193"/>
      <c r="N102" s="193"/>
      <c r="O102" s="193"/>
      <c r="P102" s="191"/>
      <c r="R102" s="3"/>
    </row>
    <row r="103" spans="1:28" x14ac:dyDescent="0.2">
      <c r="A103" s="172"/>
      <c r="B103" s="212" t="s">
        <v>246</v>
      </c>
      <c r="C103" s="231"/>
      <c r="D103" s="172"/>
      <c r="E103" s="172"/>
      <c r="F103" s="172"/>
      <c r="G103" s="172"/>
      <c r="H103" s="172"/>
      <c r="I103" s="185"/>
      <c r="J103" s="185"/>
      <c r="K103" s="193"/>
      <c r="L103" s="193"/>
      <c r="M103" s="193"/>
      <c r="N103" s="193"/>
      <c r="O103" s="193"/>
      <c r="P103" s="191"/>
    </row>
    <row r="104" spans="1:28" x14ac:dyDescent="0.2">
      <c r="A104" s="172"/>
      <c r="B104" s="172"/>
      <c r="C104" s="172"/>
      <c r="D104" s="172"/>
      <c r="E104" s="172"/>
      <c r="F104" s="172"/>
      <c r="G104" s="172"/>
      <c r="H104" s="172"/>
      <c r="I104" s="185"/>
      <c r="J104" s="185"/>
      <c r="K104" s="193">
        <v>0</v>
      </c>
      <c r="L104" s="193">
        <f>IF($A$1&gt;1,ROUND($K104*$U$15,0),0)</f>
        <v>0</v>
      </c>
      <c r="M104" s="193">
        <f>IF($A$1&gt;2,ROUND($K104*$U$15^2,0),0)</f>
        <v>0</v>
      </c>
      <c r="N104" s="193">
        <f>IF($A$1&gt;3,ROUND($K104*$U$15^3,0),0)</f>
        <v>0</v>
      </c>
      <c r="O104" s="193">
        <f>IF($A$1&gt;4,ROUND($K104*$U$15^4,0),0)</f>
        <v>0</v>
      </c>
      <c r="P104" s="191">
        <f>SUM(K104:O104)</f>
        <v>0</v>
      </c>
    </row>
    <row r="105" spans="1:28" x14ac:dyDescent="0.2">
      <c r="A105" s="172"/>
      <c r="B105" s="172"/>
      <c r="C105" s="172"/>
      <c r="D105" s="172"/>
      <c r="E105" s="172"/>
      <c r="F105" s="172"/>
      <c r="G105" s="172"/>
      <c r="H105" s="172"/>
      <c r="I105" s="185"/>
      <c r="J105" s="185"/>
      <c r="K105" s="193">
        <v>0</v>
      </c>
      <c r="L105" s="193">
        <f>IF($A$1&gt;1,ROUND($K105*$U$15,0),0)</f>
        <v>0</v>
      </c>
      <c r="M105" s="193">
        <f>IF($A$1&gt;2,ROUND($K105*$U$15^2,0),0)</f>
        <v>0</v>
      </c>
      <c r="N105" s="193">
        <f>IF($A$1&gt;3,ROUND($K105*$U$15^3,0),0)</f>
        <v>0</v>
      </c>
      <c r="O105" s="193">
        <f>IF($A$1&gt;4,ROUND($K105*$U$15^4,0),0)</f>
        <v>0</v>
      </c>
      <c r="P105" s="191">
        <f>SUM(K105:O105)</f>
        <v>0</v>
      </c>
      <c r="R105" s="3"/>
    </row>
    <row r="106" spans="1:28" x14ac:dyDescent="0.2">
      <c r="A106" s="172"/>
      <c r="B106" s="172"/>
      <c r="C106" s="185"/>
      <c r="D106" s="172"/>
      <c r="E106" s="172"/>
      <c r="F106" s="172"/>
      <c r="G106" s="172"/>
      <c r="H106" s="172"/>
      <c r="I106" s="185"/>
      <c r="J106" s="185"/>
      <c r="K106" s="193">
        <v>0</v>
      </c>
      <c r="L106" s="193">
        <f>IF($A$1&gt;1,ROUND($K106*$U$15,0),0)</f>
        <v>0</v>
      </c>
      <c r="M106" s="193">
        <f>IF($A$1&gt;2,ROUND($K106*$U$15^2,0),0)</f>
        <v>0</v>
      </c>
      <c r="N106" s="193">
        <f>IF($A$1&gt;3,ROUND($K106*$U$15^3,0),0)</f>
        <v>0</v>
      </c>
      <c r="O106" s="193">
        <f>IF($A$1&gt;4,ROUND($K106*$U$15^4,0),0)</f>
        <v>0</v>
      </c>
      <c r="P106" s="191">
        <f>SUM(K106:O106)</f>
        <v>0</v>
      </c>
    </row>
    <row r="107" spans="1:28" x14ac:dyDescent="0.2">
      <c r="A107" s="172"/>
      <c r="B107" s="185"/>
      <c r="C107" s="185"/>
      <c r="D107" s="172"/>
      <c r="E107" s="172"/>
      <c r="F107" s="172"/>
      <c r="G107" s="172"/>
      <c r="H107" s="172"/>
      <c r="I107" s="185"/>
      <c r="J107" s="185"/>
      <c r="K107" s="218">
        <v>0</v>
      </c>
      <c r="L107" s="218">
        <f>IF($A$1&gt;1,ROUND($K107*$U$15,0),0)</f>
        <v>0</v>
      </c>
      <c r="M107" s="218">
        <f>IF($A$1&gt;2,ROUND($K107*$U$15^2,0),0)</f>
        <v>0</v>
      </c>
      <c r="N107" s="218">
        <f>IF($A$1&gt;3,ROUND($K107*$U$15^3,0),0)</f>
        <v>0</v>
      </c>
      <c r="O107" s="218">
        <f>IF($A$1&gt;4,ROUND($K107*$U$15^4,0),0)</f>
        <v>0</v>
      </c>
      <c r="P107" s="219">
        <f>SUM(K107:O107)</f>
        <v>0</v>
      </c>
    </row>
    <row r="108" spans="1:28" ht="13.5" x14ac:dyDescent="0.25">
      <c r="A108" s="172"/>
      <c r="B108" s="172"/>
      <c r="C108" s="172"/>
      <c r="D108" s="172"/>
      <c r="E108" s="172"/>
      <c r="F108" s="172"/>
      <c r="G108" s="176"/>
      <c r="H108" s="176"/>
      <c r="I108" s="232"/>
      <c r="J108" s="232" t="s">
        <v>20</v>
      </c>
      <c r="K108" s="233">
        <f>SUM(K103:K107)</f>
        <v>0</v>
      </c>
      <c r="L108" s="233">
        <f>IF($A$1&gt;1,SUM(L103:L107),0)</f>
        <v>0</v>
      </c>
      <c r="M108" s="233">
        <f>IF($A$1&gt;2,SUM(M103:M107),0)</f>
        <v>0</v>
      </c>
      <c r="N108" s="233">
        <f>IF($A$1&gt;3,SUM(N103:N107),0)</f>
        <v>0</v>
      </c>
      <c r="O108" s="234">
        <f>IF($A$1&gt;4,SUM(O103:O107),0)</f>
        <v>0</v>
      </c>
      <c r="P108" s="235">
        <f>SUM(K108:O108)</f>
        <v>0</v>
      </c>
    </row>
    <row r="109" spans="1:28" ht="13.5" x14ac:dyDescent="0.25">
      <c r="A109" s="172"/>
      <c r="B109" s="172"/>
      <c r="C109" s="172"/>
      <c r="D109" s="172"/>
      <c r="E109" s="172"/>
      <c r="F109" s="172"/>
      <c r="G109" s="176"/>
      <c r="H109" s="176"/>
      <c r="I109" s="232"/>
      <c r="J109" s="232"/>
      <c r="K109" s="382"/>
      <c r="L109" s="382"/>
      <c r="M109" s="382"/>
      <c r="N109" s="382"/>
      <c r="O109" s="382"/>
      <c r="P109" s="236"/>
    </row>
    <row r="110" spans="1:28" ht="13.5" x14ac:dyDescent="0.25">
      <c r="A110" s="172"/>
      <c r="B110" s="172" t="s">
        <v>247</v>
      </c>
      <c r="C110" s="172"/>
      <c r="D110" s="172"/>
      <c r="E110" s="172"/>
      <c r="F110" s="172"/>
      <c r="G110" s="176"/>
      <c r="H110" s="176"/>
      <c r="I110" s="232"/>
      <c r="J110" s="232"/>
      <c r="K110" s="382"/>
      <c r="L110" s="382"/>
      <c r="M110" s="382"/>
      <c r="N110" s="382"/>
      <c r="O110" s="382"/>
      <c r="P110" s="236"/>
    </row>
    <row r="111" spans="1:28" ht="13.5" x14ac:dyDescent="0.25">
      <c r="A111" s="172"/>
      <c r="B111" s="172"/>
      <c r="C111" s="172"/>
      <c r="D111" s="172"/>
      <c r="E111" s="172"/>
      <c r="F111" s="172"/>
      <c r="G111" s="176"/>
      <c r="H111" s="176"/>
      <c r="I111" s="232"/>
      <c r="J111" s="232"/>
      <c r="K111" s="218">
        <v>0</v>
      </c>
      <c r="L111" s="218">
        <f>IF($A$1&gt;1,ROUND($K111*$U$15,0),0)</f>
        <v>0</v>
      </c>
      <c r="M111" s="218">
        <f>IF($A$1&gt;2,ROUND($K111*$U$15^2,0),0)</f>
        <v>0</v>
      </c>
      <c r="N111" s="218">
        <f>IF($A$1&gt;3,ROUND($K111*$U$15^3,0),0)</f>
        <v>0</v>
      </c>
      <c r="O111" s="218">
        <f>IF($A$1&gt;4,ROUND($K111*$U$15^4,0),0)</f>
        <v>0</v>
      </c>
      <c r="P111" s="219">
        <f>SUM(K111:O111)</f>
        <v>0</v>
      </c>
    </row>
    <row r="112" spans="1:28" ht="13.5" x14ac:dyDescent="0.25">
      <c r="A112" s="172"/>
      <c r="B112" s="172"/>
      <c r="C112" s="172"/>
      <c r="D112" s="172"/>
      <c r="E112" s="172"/>
      <c r="F112" s="172"/>
      <c r="G112" s="176"/>
      <c r="H112" s="176"/>
      <c r="J112" s="232" t="s">
        <v>248</v>
      </c>
      <c r="K112" s="233">
        <f>SUM(K111)</f>
        <v>0</v>
      </c>
      <c r="L112" s="233">
        <f>SUM(L111)</f>
        <v>0</v>
      </c>
      <c r="M112" s="233">
        <f>SUM(M111)</f>
        <v>0</v>
      </c>
      <c r="N112" s="233">
        <f>SUM(N111)</f>
        <v>0</v>
      </c>
      <c r="O112" s="233">
        <f>SUM(O111)</f>
        <v>0</v>
      </c>
      <c r="P112" s="235">
        <f>SUM(K112:O112)</f>
        <v>0</v>
      </c>
    </row>
    <row r="113" spans="1:21" ht="13.5" x14ac:dyDescent="0.25">
      <c r="A113" s="172"/>
      <c r="B113" s="172"/>
      <c r="C113" s="172"/>
      <c r="D113" s="172"/>
      <c r="E113" s="172"/>
      <c r="F113" s="172"/>
      <c r="G113" s="176"/>
      <c r="H113" s="176"/>
      <c r="J113" s="232"/>
      <c r="K113" s="382"/>
      <c r="L113" s="382"/>
      <c r="M113" s="382"/>
      <c r="N113" s="382"/>
      <c r="O113" s="382"/>
      <c r="P113" s="236"/>
    </row>
    <row r="114" spans="1:21" ht="13.5" x14ac:dyDescent="0.25">
      <c r="A114" s="172"/>
      <c r="B114" s="172" t="s">
        <v>249</v>
      </c>
      <c r="C114" s="172"/>
      <c r="D114" s="172"/>
      <c r="E114" s="172"/>
      <c r="F114" s="172"/>
      <c r="G114" s="176"/>
      <c r="H114" s="176"/>
      <c r="I114" s="232"/>
      <c r="J114" s="232"/>
      <c r="K114" s="382"/>
      <c r="L114" s="382"/>
      <c r="M114" s="382"/>
      <c r="N114" s="382"/>
      <c r="O114" s="382"/>
      <c r="P114" s="236"/>
    </row>
    <row r="115" spans="1:21" ht="13.5" x14ac:dyDescent="0.25">
      <c r="A115" s="172"/>
      <c r="B115" s="172"/>
      <c r="C115" s="172"/>
      <c r="D115" s="172"/>
      <c r="E115" s="172"/>
      <c r="F115" s="172"/>
      <c r="G115" s="176"/>
      <c r="H115" s="176"/>
      <c r="I115" s="232"/>
      <c r="J115" s="232"/>
      <c r="K115" s="200">
        <v>0</v>
      </c>
      <c r="L115" s="200">
        <f>IF($A$1&gt;1,ROUND($K115*$U$15,0),0)</f>
        <v>0</v>
      </c>
      <c r="M115" s="200">
        <f>IF($A$1&gt;2,ROUND($K115*$U$15^2,0),0)</f>
        <v>0</v>
      </c>
      <c r="N115" s="200">
        <f>IF($A$1&gt;3,ROUND($K115*$U$15^3,0),0)</f>
        <v>0</v>
      </c>
      <c r="O115" s="200">
        <f>IF($A$1&gt;4,ROUND($K115*$U$15^4,0),0)</f>
        <v>0</v>
      </c>
      <c r="P115" s="236">
        <f>SUM(K115:O115)</f>
        <v>0</v>
      </c>
    </row>
    <row r="116" spans="1:21" ht="13.5" x14ac:dyDescent="0.25">
      <c r="A116" s="172"/>
      <c r="B116" s="172"/>
      <c r="C116" s="172"/>
      <c r="D116" s="172"/>
      <c r="E116" s="172"/>
      <c r="F116" s="172"/>
      <c r="G116" s="176"/>
      <c r="H116" s="176"/>
      <c r="I116" s="232"/>
      <c r="J116" s="232"/>
      <c r="K116" s="218">
        <v>0</v>
      </c>
      <c r="L116" s="218">
        <f>IF($A$1&gt;1,ROUND($K116*$U$15,0),0)</f>
        <v>0</v>
      </c>
      <c r="M116" s="218">
        <f>IF($A$1&gt;2,ROUND($K116*$U$15^2,0),0)</f>
        <v>0</v>
      </c>
      <c r="N116" s="218">
        <f>IF($A$1&gt;3,ROUND($K116*$U$15^3,0),0)</f>
        <v>0</v>
      </c>
      <c r="O116" s="218">
        <f>IF($A$1&gt;4,ROUND($K116*$U$15^4,0),0)</f>
        <v>0</v>
      </c>
      <c r="P116" s="219">
        <f>SUM(K116:O116)</f>
        <v>0</v>
      </c>
    </row>
    <row r="117" spans="1:21" ht="13.5" x14ac:dyDescent="0.25">
      <c r="A117" s="172"/>
      <c r="B117" s="172"/>
      <c r="C117" s="172"/>
      <c r="D117" s="172"/>
      <c r="E117" s="172"/>
      <c r="F117" s="172"/>
      <c r="G117" s="176"/>
      <c r="H117" s="176"/>
      <c r="I117" s="232"/>
      <c r="J117" s="232" t="s">
        <v>250</v>
      </c>
      <c r="K117" s="233">
        <f>SUM(K115:K116)</f>
        <v>0</v>
      </c>
      <c r="L117" s="233">
        <f>SUM(L115:L116)</f>
        <v>0</v>
      </c>
      <c r="M117" s="233">
        <f>SUM(M115:M116)</f>
        <v>0</v>
      </c>
      <c r="N117" s="233">
        <f>SUM(N115:N116)</f>
        <v>0</v>
      </c>
      <c r="O117" s="233">
        <f>SUM(O115:O116)</f>
        <v>0</v>
      </c>
      <c r="P117" s="235">
        <f>SUM(K117:O117)</f>
        <v>0</v>
      </c>
    </row>
    <row r="118" spans="1:21" ht="13.5" x14ac:dyDescent="0.25">
      <c r="A118" s="172"/>
      <c r="B118" s="172"/>
      <c r="C118" s="172"/>
      <c r="D118" s="172"/>
      <c r="E118" s="172"/>
      <c r="F118" s="172"/>
      <c r="G118" s="176"/>
      <c r="H118" s="176"/>
      <c r="I118" s="232"/>
      <c r="J118" s="232"/>
      <c r="K118" s="382"/>
      <c r="L118" s="382"/>
      <c r="M118" s="382"/>
      <c r="N118" s="382"/>
      <c r="O118" s="382"/>
      <c r="P118" s="236"/>
    </row>
    <row r="119" spans="1:21" ht="13.5" x14ac:dyDescent="0.25">
      <c r="A119" s="172"/>
      <c r="B119" s="172" t="s">
        <v>251</v>
      </c>
      <c r="C119" s="172"/>
      <c r="D119" s="172"/>
      <c r="E119" s="172"/>
      <c r="F119" s="172"/>
      <c r="G119" s="176"/>
      <c r="H119" s="176"/>
      <c r="I119" s="232"/>
      <c r="J119" s="232"/>
      <c r="K119" s="382"/>
      <c r="L119" s="382"/>
      <c r="M119" s="382"/>
      <c r="N119" s="382"/>
      <c r="O119" s="382"/>
      <c r="P119" s="236"/>
    </row>
    <row r="120" spans="1:21" ht="13.5" x14ac:dyDescent="0.25">
      <c r="A120" s="172"/>
      <c r="B120" s="172"/>
      <c r="C120" s="172"/>
      <c r="D120" s="172"/>
      <c r="E120" s="172"/>
      <c r="F120" s="172"/>
      <c r="G120" s="176"/>
      <c r="H120" s="176"/>
      <c r="I120" s="232"/>
      <c r="J120" s="232"/>
      <c r="K120" s="218">
        <v>0</v>
      </c>
      <c r="L120" s="218">
        <f>IF($A$1&gt;1,ROUND($K120*$U$15,0),0)</f>
        <v>0</v>
      </c>
      <c r="M120" s="218">
        <f>IF($A$1&gt;2,ROUND($K120*$U$15^2,0),0)</f>
        <v>0</v>
      </c>
      <c r="N120" s="218">
        <f>IF($A$1&gt;3,ROUND($K120*$U$15^3,0),0)</f>
        <v>0</v>
      </c>
      <c r="O120" s="218">
        <f>IF($A$1&gt;4,ROUND($K120*$U$15^4,0),0)</f>
        <v>0</v>
      </c>
      <c r="P120" s="219">
        <f>SUM(K120:O120)</f>
        <v>0</v>
      </c>
    </row>
    <row r="121" spans="1:21" ht="13.5" x14ac:dyDescent="0.25">
      <c r="A121" s="172"/>
      <c r="B121" s="172"/>
      <c r="C121" s="172"/>
      <c r="D121" s="172"/>
      <c r="E121" s="172"/>
      <c r="F121" s="172"/>
      <c r="G121" s="176"/>
      <c r="H121" s="176"/>
      <c r="I121" s="232"/>
      <c r="J121" s="232" t="s">
        <v>252</v>
      </c>
      <c r="K121" s="233">
        <f>SUM(K120)</f>
        <v>0</v>
      </c>
      <c r="L121" s="233">
        <f>SUM(L120)</f>
        <v>0</v>
      </c>
      <c r="M121" s="233">
        <f>SUM(M120)</f>
        <v>0</v>
      </c>
      <c r="N121" s="233">
        <f>SUM(N120)</f>
        <v>0</v>
      </c>
      <c r="O121" s="233">
        <f>SUM(O120)</f>
        <v>0</v>
      </c>
      <c r="P121" s="235">
        <f>SUM(K121:O121)</f>
        <v>0</v>
      </c>
      <c r="R121" s="3"/>
    </row>
    <row r="122" spans="1:21" ht="13.5" x14ac:dyDescent="0.25">
      <c r="A122" s="172"/>
      <c r="B122" s="172"/>
      <c r="C122" s="172"/>
      <c r="D122" s="172"/>
      <c r="E122" s="172"/>
      <c r="F122" s="172"/>
      <c r="G122" s="176"/>
      <c r="H122" s="176"/>
      <c r="I122" s="232"/>
      <c r="J122" s="232"/>
      <c r="K122" s="382"/>
      <c r="L122" s="382"/>
      <c r="M122" s="382"/>
      <c r="N122" s="382"/>
      <c r="O122" s="382"/>
      <c r="P122" s="236"/>
      <c r="Q122" s="13" t="s">
        <v>24</v>
      </c>
      <c r="R122" s="3"/>
    </row>
    <row r="123" spans="1:21" x14ac:dyDescent="0.2">
      <c r="A123" s="172"/>
      <c r="B123" s="212" t="s">
        <v>253</v>
      </c>
      <c r="C123" s="231"/>
      <c r="D123" s="212"/>
      <c r="E123" s="212"/>
      <c r="F123" s="212"/>
      <c r="G123" s="212"/>
      <c r="H123" s="212"/>
      <c r="I123" s="185"/>
      <c r="J123" s="185"/>
      <c r="K123" s="193"/>
      <c r="L123" s="224"/>
      <c r="M123" s="224"/>
      <c r="N123" s="224"/>
      <c r="O123" s="224"/>
      <c r="P123" s="191"/>
      <c r="Q123" s="14" t="s">
        <v>25</v>
      </c>
    </row>
    <row r="124" spans="1:21" x14ac:dyDescent="0.2">
      <c r="A124" s="172"/>
      <c r="B124" s="212" t="s">
        <v>240</v>
      </c>
      <c r="C124" s="212"/>
      <c r="D124" s="212"/>
      <c r="E124" s="212"/>
      <c r="F124" s="212"/>
      <c r="G124" s="212"/>
      <c r="H124" s="212"/>
      <c r="I124" s="185"/>
      <c r="J124" s="185" t="s">
        <v>50</v>
      </c>
      <c r="K124" s="214">
        <v>0</v>
      </c>
      <c r="L124" s="214"/>
      <c r="M124" s="214"/>
      <c r="N124" s="214"/>
      <c r="O124" s="214"/>
      <c r="P124" s="190">
        <f>SUM(K124:O124)</f>
        <v>0</v>
      </c>
    </row>
    <row r="125" spans="1:21" x14ac:dyDescent="0.2">
      <c r="A125" s="172"/>
      <c r="B125" s="212"/>
      <c r="C125" s="212"/>
      <c r="D125" s="212"/>
      <c r="E125" s="212"/>
      <c r="F125" s="212"/>
      <c r="G125" s="212"/>
      <c r="H125" s="212"/>
      <c r="I125" s="185"/>
      <c r="J125" s="185" t="s">
        <v>22</v>
      </c>
      <c r="K125" s="214">
        <v>0</v>
      </c>
      <c r="L125" s="214">
        <v>0</v>
      </c>
      <c r="M125" s="214">
        <v>0</v>
      </c>
      <c r="N125" s="214">
        <v>0</v>
      </c>
      <c r="O125" s="214">
        <v>0</v>
      </c>
      <c r="P125" s="190">
        <f t="shared" ref="P125:P136" si="25">SUM(K125:O125)</f>
        <v>0</v>
      </c>
      <c r="Q125" s="20">
        <f>SUM(P124:P125)</f>
        <v>0</v>
      </c>
      <c r="S125" s="10"/>
      <c r="T125" s="15"/>
      <c r="U125" s="15"/>
    </row>
    <row r="126" spans="1:21" ht="13.5" thickBot="1" x14ac:dyDescent="0.25">
      <c r="A126" s="172" t="s">
        <v>28</v>
      </c>
      <c r="B126" s="383"/>
      <c r="C126" s="383"/>
      <c r="D126" s="383"/>
      <c r="E126" s="383"/>
      <c r="F126" s="383"/>
      <c r="G126" s="383"/>
      <c r="H126" s="383"/>
      <c r="I126" s="384"/>
      <c r="J126" s="384"/>
      <c r="K126" s="216"/>
      <c r="L126" s="216"/>
      <c r="M126" s="216"/>
      <c r="N126" s="216"/>
      <c r="O126" s="216"/>
      <c r="P126" s="238"/>
      <c r="Q126" s="15"/>
    </row>
    <row r="127" spans="1:21" x14ac:dyDescent="0.2">
      <c r="A127" s="172"/>
      <c r="B127" s="385" t="s">
        <v>241</v>
      </c>
      <c r="C127" s="385"/>
      <c r="D127" s="385"/>
      <c r="E127" s="385"/>
      <c r="F127" s="385"/>
      <c r="G127" s="385"/>
      <c r="H127" s="385"/>
      <c r="I127" s="386"/>
      <c r="J127" s="386" t="s">
        <v>50</v>
      </c>
      <c r="K127" s="239">
        <v>0</v>
      </c>
      <c r="L127" s="239"/>
      <c r="M127" s="239"/>
      <c r="N127" s="239"/>
      <c r="O127" s="239"/>
      <c r="P127" s="240">
        <f t="shared" si="25"/>
        <v>0</v>
      </c>
    </row>
    <row r="128" spans="1:21" x14ac:dyDescent="0.2">
      <c r="A128" s="172"/>
      <c r="B128" s="212"/>
      <c r="C128" s="212"/>
      <c r="D128" s="212"/>
      <c r="E128" s="212"/>
      <c r="F128" s="212"/>
      <c r="G128" s="212"/>
      <c r="H128" s="212"/>
      <c r="I128" s="185"/>
      <c r="J128" s="185" t="s">
        <v>22</v>
      </c>
      <c r="K128" s="214">
        <v>0</v>
      </c>
      <c r="L128" s="214">
        <v>0</v>
      </c>
      <c r="M128" s="214">
        <v>0</v>
      </c>
      <c r="N128" s="214">
        <v>0</v>
      </c>
      <c r="O128" s="214">
        <v>0</v>
      </c>
      <c r="P128" s="190">
        <f t="shared" si="25"/>
        <v>0</v>
      </c>
      <c r="Q128" s="20">
        <f>SUM(P127:P128)</f>
        <v>0</v>
      </c>
    </row>
    <row r="129" spans="1:20" ht="13.5" thickBot="1" x14ac:dyDescent="0.25">
      <c r="A129" s="172"/>
      <c r="B129" s="383"/>
      <c r="C129" s="383"/>
      <c r="D129" s="383"/>
      <c r="E129" s="383"/>
      <c r="F129" s="383"/>
      <c r="G129" s="383"/>
      <c r="H129" s="383"/>
      <c r="I129" s="384"/>
      <c r="J129" s="384"/>
      <c r="K129" s="216"/>
      <c r="L129" s="216"/>
      <c r="M129" s="216"/>
      <c r="N129" s="216"/>
      <c r="O129" s="216"/>
      <c r="P129" s="238"/>
    </row>
    <row r="130" spans="1:20" x14ac:dyDescent="0.2">
      <c r="A130" s="172"/>
      <c r="B130" s="385" t="s">
        <v>242</v>
      </c>
      <c r="C130" s="385"/>
      <c r="D130" s="385"/>
      <c r="E130" s="385"/>
      <c r="F130" s="385"/>
      <c r="G130" s="385"/>
      <c r="H130" s="385"/>
      <c r="I130" s="386"/>
      <c r="J130" s="386" t="s">
        <v>50</v>
      </c>
      <c r="K130" s="239">
        <v>0</v>
      </c>
      <c r="L130" s="239"/>
      <c r="M130" s="239"/>
      <c r="N130" s="239"/>
      <c r="O130" s="239"/>
      <c r="P130" s="240">
        <f t="shared" si="25"/>
        <v>0</v>
      </c>
      <c r="Q130" s="20"/>
    </row>
    <row r="131" spans="1:20" x14ac:dyDescent="0.2">
      <c r="A131" s="172"/>
      <c r="B131" s="212"/>
      <c r="C131" s="212"/>
      <c r="D131" s="212"/>
      <c r="E131" s="212"/>
      <c r="F131" s="212"/>
      <c r="G131" s="212"/>
      <c r="H131" s="212"/>
      <c r="I131" s="185"/>
      <c r="J131" s="185" t="s">
        <v>22</v>
      </c>
      <c r="K131" s="214">
        <v>0</v>
      </c>
      <c r="L131" s="214">
        <v>0</v>
      </c>
      <c r="M131" s="214">
        <v>0</v>
      </c>
      <c r="N131" s="214">
        <v>0</v>
      </c>
      <c r="O131" s="214">
        <v>0</v>
      </c>
      <c r="P131" s="190">
        <f t="shared" si="25"/>
        <v>0</v>
      </c>
      <c r="Q131" s="20">
        <f>SUM(P130:P131)</f>
        <v>0</v>
      </c>
    </row>
    <row r="132" spans="1:20" ht="13.5" thickBot="1" x14ac:dyDescent="0.25">
      <c r="A132" s="172"/>
      <c r="B132" s="383"/>
      <c r="C132" s="383"/>
      <c r="D132" s="383"/>
      <c r="E132" s="383"/>
      <c r="F132" s="383"/>
      <c r="G132" s="383"/>
      <c r="H132" s="383"/>
      <c r="I132" s="384"/>
      <c r="J132" s="384"/>
      <c r="K132" s="216"/>
      <c r="L132" s="216"/>
      <c r="M132" s="216"/>
      <c r="N132" s="216"/>
      <c r="O132" s="216"/>
      <c r="P132" s="238"/>
    </row>
    <row r="133" spans="1:20" x14ac:dyDescent="0.2">
      <c r="A133" s="172"/>
      <c r="B133" s="241"/>
      <c r="C133" s="241"/>
      <c r="D133" s="242" t="s">
        <v>23</v>
      </c>
      <c r="E133" s="242"/>
      <c r="F133" s="242"/>
      <c r="G133" s="242"/>
      <c r="H133" s="242"/>
      <c r="I133" s="242"/>
      <c r="J133" s="386" t="s">
        <v>50</v>
      </c>
      <c r="K133" s="243">
        <f>K124+K127+K130</f>
        <v>0</v>
      </c>
      <c r="L133" s="243">
        <f>IF($A$1&gt;1,L124+L127+L130,0)</f>
        <v>0</v>
      </c>
      <c r="M133" s="243">
        <f>IF($A$1&gt;2,M124+M127+M130,0)</f>
        <v>0</v>
      </c>
      <c r="N133" s="243">
        <f>IF($A$1&gt;3,N124+N127+N130,0)</f>
        <v>0</v>
      </c>
      <c r="O133" s="243">
        <f>IF($A$1&gt;4,O124+O127+O130,0)</f>
        <v>0</v>
      </c>
      <c r="P133" s="244">
        <f>SUM(K133:O133)</f>
        <v>0</v>
      </c>
    </row>
    <row r="134" spans="1:20" x14ac:dyDescent="0.2">
      <c r="A134" s="172"/>
      <c r="B134" s="245"/>
      <c r="C134" s="245"/>
      <c r="D134" s="246" t="s">
        <v>23</v>
      </c>
      <c r="E134" s="246"/>
      <c r="F134" s="246"/>
      <c r="G134" s="246"/>
      <c r="H134" s="246"/>
      <c r="I134" s="246"/>
      <c r="J134" s="185" t="s">
        <v>22</v>
      </c>
      <c r="K134" s="218">
        <f>K125+K128+K131</f>
        <v>0</v>
      </c>
      <c r="L134" s="218">
        <f>IF($A$1&gt;1,L125+L128+L131,0)</f>
        <v>0</v>
      </c>
      <c r="M134" s="218">
        <f>IF($A$1&gt;2,M125+M128+M131,0)</f>
        <v>0</v>
      </c>
      <c r="N134" s="218">
        <f>IF($A$1&gt;3,N125+N128+N131,0)</f>
        <v>0</v>
      </c>
      <c r="O134" s="218">
        <f>IF($A$1&gt;4,O125+O128+O131,0)</f>
        <v>0</v>
      </c>
      <c r="P134" s="247">
        <f t="shared" si="25"/>
        <v>0</v>
      </c>
      <c r="Q134" s="21">
        <f>SUM(P133:P134)</f>
        <v>0</v>
      </c>
    </row>
    <row r="135" spans="1:20" x14ac:dyDescent="0.2">
      <c r="A135" s="172"/>
      <c r="B135" s="248"/>
      <c r="C135" s="383"/>
      <c r="D135" s="383"/>
      <c r="E135" s="383"/>
      <c r="F135" s="383"/>
      <c r="G135" s="383"/>
      <c r="H135" s="383"/>
      <c r="I135" s="384"/>
      <c r="J135" s="384"/>
      <c r="K135" s="249"/>
      <c r="L135" s="249"/>
      <c r="M135" s="249"/>
      <c r="N135" s="249"/>
      <c r="O135" s="249"/>
      <c r="P135" s="250"/>
      <c r="T135" s="1" t="s">
        <v>28</v>
      </c>
    </row>
    <row r="136" spans="1:20" ht="13.5" x14ac:dyDescent="0.25">
      <c r="A136" s="172"/>
      <c r="B136" s="245"/>
      <c r="C136" s="245"/>
      <c r="D136" s="246"/>
      <c r="E136" s="246"/>
      <c r="F136" s="251"/>
      <c r="G136" s="251"/>
      <c r="H136" s="251"/>
      <c r="I136" s="251"/>
      <c r="J136" s="251" t="s">
        <v>23</v>
      </c>
      <c r="K136" s="224">
        <f>K133+K134</f>
        <v>0</v>
      </c>
      <c r="L136" s="224">
        <f>IF($A$1&gt;1,L133+L134,0)</f>
        <v>0</v>
      </c>
      <c r="M136" s="224">
        <f>IF($A$1&gt;2,M133+M134,0)</f>
        <v>0</v>
      </c>
      <c r="N136" s="224">
        <f>IF($A$1&gt;3,N133+N134,0)</f>
        <v>0</v>
      </c>
      <c r="O136" s="224">
        <f>IF($A$1&gt;4,O133+O134,0)</f>
        <v>0</v>
      </c>
      <c r="P136" s="236">
        <f t="shared" si="25"/>
        <v>0</v>
      </c>
    </row>
    <row r="137" spans="1:20" ht="13.5" x14ac:dyDescent="0.25">
      <c r="A137" s="172"/>
      <c r="B137" s="245"/>
      <c r="C137" s="245"/>
      <c r="D137" s="246"/>
      <c r="E137" s="246"/>
      <c r="F137" s="251"/>
      <c r="G137" s="251"/>
      <c r="H137" s="251"/>
      <c r="I137" s="251"/>
      <c r="J137" s="251"/>
      <c r="K137" s="224"/>
      <c r="L137" s="224"/>
      <c r="M137" s="224"/>
      <c r="N137" s="224"/>
      <c r="O137" s="224"/>
      <c r="P137" s="236"/>
    </row>
    <row r="138" spans="1:20" x14ac:dyDescent="0.2">
      <c r="A138" s="172"/>
      <c r="B138" s="212" t="s">
        <v>254</v>
      </c>
      <c r="C138" s="212"/>
      <c r="D138" s="212"/>
      <c r="E138" s="212"/>
      <c r="F138" s="212"/>
      <c r="G138" s="212"/>
      <c r="H138" s="212"/>
      <c r="I138" s="185"/>
      <c r="J138" s="185"/>
      <c r="K138" s="193"/>
      <c r="L138" s="193"/>
      <c r="M138" s="193"/>
      <c r="N138" s="193"/>
      <c r="O138" s="193"/>
      <c r="P138" s="191"/>
    </row>
    <row r="139" spans="1:20" x14ac:dyDescent="0.2">
      <c r="A139" s="172"/>
      <c r="B139" s="212" t="s">
        <v>83</v>
      </c>
      <c r="C139" s="212"/>
      <c r="D139" s="212"/>
      <c r="E139" s="212"/>
      <c r="F139" s="212"/>
      <c r="G139" s="212"/>
      <c r="H139" s="212"/>
      <c r="I139" s="212"/>
      <c r="J139" s="212"/>
      <c r="K139" s="193">
        <f>ROUND(U$10*(E39+(E46/3)),0)</f>
        <v>0</v>
      </c>
      <c r="L139" s="193">
        <f>IF($A$1&gt;1,ROUND(V$10*(F39+(F46/3)),0),0)</f>
        <v>0</v>
      </c>
      <c r="M139" s="193">
        <f>IF($A$1&gt;2,ROUND(W$10*(G39+(G46/3)),0),0)</f>
        <v>0</v>
      </c>
      <c r="N139" s="193">
        <f>IF($A$1&gt;3,ROUND(X$10*(H39+(H46/3)),0),0)</f>
        <v>0</v>
      </c>
      <c r="O139" s="193">
        <f>IF($A$1&gt;4,ROUND(Y$10*(I39+(I46/3)),0),0)</f>
        <v>0</v>
      </c>
      <c r="P139" s="191">
        <f>SUM(K139:O139)</f>
        <v>0</v>
      </c>
    </row>
    <row r="140" spans="1:20" x14ac:dyDescent="0.2">
      <c r="A140" s="172"/>
      <c r="B140" s="212" t="s">
        <v>84</v>
      </c>
      <c r="C140" s="212"/>
      <c r="D140" s="212"/>
      <c r="E140" s="212"/>
      <c r="F140" s="212"/>
      <c r="G140" s="212"/>
      <c r="H140" s="212"/>
      <c r="I140" s="212"/>
      <c r="J140" s="212"/>
      <c r="K140" s="193">
        <f>ROUND(U$10*(E40+(E47/3)),0)</f>
        <v>0</v>
      </c>
      <c r="L140" s="193">
        <f>IF($A$1&gt;1,ROUND(V$10*(F40+(F47/3)),0),0)</f>
        <v>0</v>
      </c>
      <c r="M140" s="193">
        <f>IF($A$1&gt;2,ROUND(W$10*(G40+(G47/3)),0),0)</f>
        <v>0</v>
      </c>
      <c r="N140" s="193">
        <f>IF($A$1&gt;3,ROUND(X$10*(H40+(H47/3)),0),0)</f>
        <v>0</v>
      </c>
      <c r="O140" s="193">
        <f>IF($A$1&gt;4,ROUND(Y$10*(I40+(I47/3)),0),0)</f>
        <v>0</v>
      </c>
      <c r="P140" s="191">
        <f>SUM(K140:O140)</f>
        <v>0</v>
      </c>
    </row>
    <row r="141" spans="1:20" ht="13.5" x14ac:dyDescent="0.25">
      <c r="A141" s="172"/>
      <c r="B141" s="212"/>
      <c r="C141" s="212"/>
      <c r="D141" s="212"/>
      <c r="E141" s="212"/>
      <c r="F141" s="212"/>
      <c r="G141" s="212"/>
      <c r="H141" s="212"/>
      <c r="I141" s="212"/>
      <c r="J141" s="251" t="s">
        <v>255</v>
      </c>
      <c r="K141" s="233">
        <f>SUM(K139:K140)</f>
        <v>0</v>
      </c>
      <c r="L141" s="233">
        <f>SUM(L139:L140)</f>
        <v>0</v>
      </c>
      <c r="M141" s="233">
        <f>SUM(M139:M140)</f>
        <v>0</v>
      </c>
      <c r="N141" s="233">
        <f>SUM(N139:N140)</f>
        <v>0</v>
      </c>
      <c r="O141" s="233">
        <f>SUM(O139:O140)</f>
        <v>0</v>
      </c>
      <c r="P141" s="235">
        <f>SUM(K141:O141)</f>
        <v>0</v>
      </c>
    </row>
    <row r="142" spans="1:20" x14ac:dyDescent="0.2">
      <c r="A142" s="172"/>
      <c r="B142" s="212"/>
      <c r="C142" s="212"/>
      <c r="D142" s="212"/>
      <c r="E142" s="212"/>
      <c r="F142" s="212"/>
      <c r="G142" s="212"/>
      <c r="H142" s="212"/>
      <c r="I142" s="212"/>
      <c r="J142" s="212"/>
      <c r="K142" s="193"/>
      <c r="L142" s="193"/>
      <c r="M142" s="193"/>
      <c r="N142" s="193"/>
      <c r="O142" s="193"/>
      <c r="P142" s="191"/>
    </row>
    <row r="143" spans="1:20" x14ac:dyDescent="0.2">
      <c r="A143" s="172"/>
      <c r="B143" s="212" t="s">
        <v>256</v>
      </c>
      <c r="C143" s="212"/>
      <c r="D143" s="212"/>
      <c r="E143" s="212"/>
      <c r="F143" s="212"/>
      <c r="G143" s="212"/>
      <c r="H143" s="212"/>
      <c r="I143" s="185"/>
      <c r="J143" s="185"/>
    </row>
    <row r="144" spans="1:20" x14ac:dyDescent="0.2">
      <c r="A144" s="172"/>
      <c r="B144" s="212" t="s">
        <v>85</v>
      </c>
      <c r="C144" s="212"/>
      <c r="D144" s="212"/>
      <c r="E144" s="212"/>
      <c r="F144" s="212"/>
      <c r="G144" s="212"/>
      <c r="H144" s="212"/>
      <c r="I144" s="185"/>
      <c r="J144" s="185"/>
      <c r="K144" s="218">
        <v>0</v>
      </c>
      <c r="L144" s="218">
        <f>IF($A$1&gt;1,ROUND($K144*$U$15,0),0)</f>
        <v>0</v>
      </c>
      <c r="M144" s="218">
        <f>IF($A$1&gt;2,ROUND($K144*$U$15^2,0),0)</f>
        <v>0</v>
      </c>
      <c r="N144" s="218">
        <f>IF($A$1&gt;3,ROUND($K144*$U$15^3,0),0)</f>
        <v>0</v>
      </c>
      <c r="O144" s="218">
        <f>IF($A$1&gt;4,ROUND($K144*$U$15^4,0),0)</f>
        <v>0</v>
      </c>
      <c r="P144" s="219">
        <f>SUM(K144:O144)</f>
        <v>0</v>
      </c>
    </row>
    <row r="145" spans="1:18" x14ac:dyDescent="0.2">
      <c r="A145" s="172"/>
      <c r="B145" s="212"/>
      <c r="C145" s="212"/>
      <c r="D145" s="212"/>
      <c r="E145" s="212"/>
      <c r="F145" s="212"/>
      <c r="G145" s="212"/>
      <c r="H145" s="212"/>
      <c r="I145" s="185"/>
      <c r="J145" s="185"/>
      <c r="K145" s="200"/>
      <c r="L145" s="200"/>
      <c r="M145" s="200"/>
      <c r="N145" s="200"/>
      <c r="O145" s="200"/>
      <c r="P145" s="191"/>
    </row>
    <row r="146" spans="1:18" ht="13.5" x14ac:dyDescent="0.25">
      <c r="A146" s="172"/>
      <c r="C146" s="231"/>
      <c r="D146" s="231"/>
      <c r="E146" s="231"/>
      <c r="F146" s="231"/>
      <c r="G146" s="231"/>
      <c r="H146" s="231"/>
      <c r="I146" s="251"/>
      <c r="J146" s="251" t="s">
        <v>130</v>
      </c>
      <c r="K146" s="233">
        <f>K141+K144</f>
        <v>0</v>
      </c>
      <c r="L146" s="233">
        <f>L141+L144</f>
        <v>0</v>
      </c>
      <c r="M146" s="233">
        <f>M141+M144</f>
        <v>0</v>
      </c>
      <c r="N146" s="233">
        <f>N141+N144</f>
        <v>0</v>
      </c>
      <c r="O146" s="233">
        <f>O141+O144</f>
        <v>0</v>
      </c>
      <c r="P146" s="235">
        <f>SUM(K146:O146)</f>
        <v>0</v>
      </c>
    </row>
    <row r="147" spans="1:18" x14ac:dyDescent="0.2">
      <c r="A147" s="172"/>
      <c r="B147" s="231"/>
      <c r="C147" s="231"/>
      <c r="D147" s="231"/>
      <c r="E147" s="231"/>
      <c r="F147" s="231"/>
      <c r="G147" s="231"/>
      <c r="H147" s="231"/>
      <c r="I147" s="194"/>
      <c r="J147" s="194"/>
      <c r="K147" s="382"/>
      <c r="L147" s="382"/>
      <c r="M147" s="382"/>
      <c r="N147" s="382"/>
      <c r="O147" s="382"/>
      <c r="P147" s="236"/>
    </row>
    <row r="148" spans="1:18" x14ac:dyDescent="0.2">
      <c r="A148" s="172"/>
      <c r="B148" s="212" t="s">
        <v>257</v>
      </c>
      <c r="C148" s="231"/>
      <c r="D148" s="231"/>
      <c r="E148" s="231"/>
      <c r="F148" s="231"/>
      <c r="G148" s="231"/>
      <c r="H148" s="231"/>
      <c r="I148" s="194"/>
      <c r="J148" s="194"/>
      <c r="K148" s="224"/>
      <c r="L148" s="224"/>
      <c r="M148" s="224"/>
      <c r="N148" s="224"/>
      <c r="O148" s="224"/>
      <c r="P148" s="236"/>
    </row>
    <row r="149" spans="1:18" x14ac:dyDescent="0.2">
      <c r="A149" s="172"/>
      <c r="B149" s="378" t="s">
        <v>21</v>
      </c>
      <c r="C149" s="185"/>
      <c r="D149" s="185"/>
      <c r="E149" s="185"/>
      <c r="F149" s="185"/>
      <c r="G149" s="185"/>
      <c r="H149" s="185"/>
      <c r="I149" s="185"/>
      <c r="J149" s="185"/>
      <c r="K149" s="193"/>
      <c r="L149" s="193">
        <f>IF($A$1&gt;1,ROUND($K149*$U$15,0),0)</f>
        <v>0</v>
      </c>
      <c r="M149" s="193">
        <f>IF($A$1&gt;2,ROUND($K149*$U$15^2,0),0)</f>
        <v>0</v>
      </c>
      <c r="N149" s="193">
        <f>IF($A$1&gt;3,ROUND($K149*$U$15^3,0),0)</f>
        <v>0</v>
      </c>
      <c r="O149" s="193">
        <f>IF($A$1&gt;4,ROUND($K149*$U$15^4,0),0)</f>
        <v>0</v>
      </c>
      <c r="P149" s="191">
        <f>SUM(K149:O149)</f>
        <v>0</v>
      </c>
    </row>
    <row r="150" spans="1:18" x14ac:dyDescent="0.2">
      <c r="A150" s="176"/>
      <c r="B150" s="378" t="s">
        <v>21</v>
      </c>
      <c r="C150" s="185"/>
      <c r="D150" s="185"/>
      <c r="E150" s="185"/>
      <c r="F150" s="185"/>
      <c r="G150" s="185"/>
      <c r="H150" s="185"/>
      <c r="I150" s="185"/>
      <c r="J150" s="185"/>
      <c r="K150" s="193">
        <v>0</v>
      </c>
      <c r="L150" s="193">
        <f>IF($A$1&gt;1,ROUND($K150*$U$15,0),0)</f>
        <v>0</v>
      </c>
      <c r="M150" s="193">
        <f>IF($A$1&gt;2,ROUND($K150*$U$15^2,0),0)</f>
        <v>0</v>
      </c>
      <c r="N150" s="193">
        <f>IF($A$1&gt;3,ROUND($K150*$U$15^3,0),0)</f>
        <v>0</v>
      </c>
      <c r="O150" s="193">
        <f>IF($A$1&gt;4,ROUND($K150*$U$15^4,0),0)</f>
        <v>0</v>
      </c>
      <c r="P150" s="191">
        <f>SUM(K150:O150)</f>
        <v>0</v>
      </c>
    </row>
    <row r="151" spans="1:18" ht="15" x14ac:dyDescent="0.25">
      <c r="A151" s="172"/>
      <c r="B151" s="220"/>
      <c r="C151" s="220"/>
      <c r="D151" s="220"/>
      <c r="E151" s="220"/>
      <c r="F151" s="220"/>
      <c r="G151" s="220"/>
      <c r="H151" s="253"/>
      <c r="I151" s="232"/>
      <c r="J151" s="387" t="s">
        <v>7</v>
      </c>
      <c r="K151" s="233">
        <f>SUM(K149:K150)</f>
        <v>0</v>
      </c>
      <c r="L151" s="233">
        <f>SUM(L149:L150)</f>
        <v>0</v>
      </c>
      <c r="M151" s="233">
        <f>SUM(M149:M150)</f>
        <v>0</v>
      </c>
      <c r="N151" s="233">
        <f>SUM(N149:N150)</f>
        <v>0</v>
      </c>
      <c r="O151" s="233">
        <f>SUM(O149:O150)</f>
        <v>0</v>
      </c>
      <c r="P151" s="235">
        <f>SUM(K151:O151)</f>
        <v>0</v>
      </c>
    </row>
    <row r="152" spans="1:18" ht="13.5" x14ac:dyDescent="0.25">
      <c r="A152" s="172"/>
      <c r="B152" s="220"/>
      <c r="C152" s="220"/>
      <c r="D152" s="220"/>
      <c r="E152" s="220"/>
      <c r="F152" s="220"/>
      <c r="G152" s="220"/>
      <c r="H152" s="253"/>
      <c r="I152" s="232"/>
      <c r="J152" s="232"/>
      <c r="K152" s="382"/>
      <c r="L152" s="382"/>
      <c r="M152" s="382"/>
      <c r="N152" s="382"/>
      <c r="O152" s="382"/>
      <c r="P152" s="236"/>
    </row>
    <row r="153" spans="1:18" ht="15" x14ac:dyDescent="0.25">
      <c r="A153" s="172"/>
      <c r="B153" s="220"/>
      <c r="C153" s="220"/>
      <c r="D153" s="220"/>
      <c r="E153" s="220"/>
      <c r="F153" s="220"/>
      <c r="G153" s="220"/>
      <c r="H153" s="388"/>
      <c r="I153" s="387"/>
      <c r="J153" s="387" t="s">
        <v>258</v>
      </c>
      <c r="K153" s="209">
        <f>K151+K144+K141+K136+K121+K117+K112+K108</f>
        <v>0</v>
      </c>
      <c r="L153" s="209">
        <f>L151+L144+L141+L136+L121+L117+L112+L108</f>
        <v>0</v>
      </c>
      <c r="M153" s="209">
        <f>M151+M144+M141+M136+M121+M117+M112+M108</f>
        <v>0</v>
      </c>
      <c r="N153" s="209">
        <f>N151+N144+N141+N136+N121+N117+N112+N108</f>
        <v>0</v>
      </c>
      <c r="O153" s="209">
        <f>O151+O144+O141+O136+O121+O117+O112+O108</f>
        <v>0</v>
      </c>
      <c r="P153" s="210">
        <f>SUM(K153:O153)</f>
        <v>0</v>
      </c>
    </row>
    <row r="154" spans="1:18" ht="15" x14ac:dyDescent="0.25">
      <c r="A154" s="172"/>
      <c r="B154" s="220"/>
      <c r="C154" s="220"/>
      <c r="D154" s="220"/>
      <c r="E154" s="220"/>
      <c r="F154" s="220"/>
      <c r="G154" s="220"/>
      <c r="H154" s="388"/>
      <c r="I154" s="387"/>
      <c r="J154" s="387"/>
      <c r="K154" s="382"/>
      <c r="L154" s="382"/>
      <c r="M154" s="382"/>
      <c r="N154" s="382"/>
      <c r="O154" s="382"/>
      <c r="P154" s="236"/>
    </row>
    <row r="155" spans="1:18" x14ac:dyDescent="0.2">
      <c r="A155" s="172"/>
      <c r="B155" s="222"/>
      <c r="C155" s="222"/>
      <c r="D155" s="222"/>
      <c r="E155" s="222"/>
      <c r="F155" s="222"/>
      <c r="G155" s="222"/>
      <c r="H155" s="222"/>
      <c r="I155" s="185"/>
      <c r="J155" s="185"/>
      <c r="K155" s="193"/>
      <c r="L155" s="224"/>
      <c r="M155" s="224"/>
      <c r="N155" s="224"/>
      <c r="O155" s="224"/>
      <c r="P155" s="236"/>
    </row>
    <row r="156" spans="1:18" x14ac:dyDescent="0.2">
      <c r="A156" s="172"/>
      <c r="B156" s="194" t="s">
        <v>78</v>
      </c>
      <c r="C156" s="194"/>
      <c r="D156" s="185"/>
      <c r="E156" s="185"/>
      <c r="F156" s="185"/>
      <c r="G156" s="185"/>
      <c r="H156" s="185"/>
      <c r="I156" s="185"/>
      <c r="J156" s="185"/>
      <c r="K156" s="209">
        <f>K153+K99+K91+K84+K79</f>
        <v>0</v>
      </c>
      <c r="L156" s="209">
        <f>L153+L99+L91+L84+L79</f>
        <v>0</v>
      </c>
      <c r="M156" s="209">
        <f>M153+M99+M91+M84+M79</f>
        <v>0</v>
      </c>
      <c r="N156" s="209">
        <f>N153+N99+N91+N84+N79</f>
        <v>0</v>
      </c>
      <c r="O156" s="209">
        <f>O153+O99+O91+O84+O79</f>
        <v>0</v>
      </c>
      <c r="P156" s="210">
        <f>SUM(K156:O156)</f>
        <v>0</v>
      </c>
    </row>
    <row r="157" spans="1:18" x14ac:dyDescent="0.2">
      <c r="A157" s="172"/>
      <c r="B157" s="172"/>
      <c r="C157" s="172"/>
      <c r="D157" s="172"/>
      <c r="E157" s="172"/>
      <c r="F157" s="172"/>
      <c r="G157" s="172"/>
      <c r="H157" s="172"/>
      <c r="I157" s="172"/>
      <c r="J157" s="172"/>
      <c r="K157" s="172"/>
      <c r="L157" s="172"/>
      <c r="M157" s="172"/>
      <c r="N157" s="172"/>
      <c r="O157" s="172"/>
      <c r="P157" s="180"/>
    </row>
    <row r="158" spans="1:18" x14ac:dyDescent="0.2">
      <c r="A158" s="172"/>
      <c r="B158" s="231" t="s">
        <v>90</v>
      </c>
      <c r="C158" s="222"/>
      <c r="D158" s="185"/>
      <c r="E158" s="185"/>
      <c r="F158" s="185"/>
      <c r="G158" s="185"/>
      <c r="H158" s="185"/>
      <c r="I158" s="172"/>
      <c r="J158" s="172"/>
      <c r="K158" s="254">
        <f>K156-K146-K134-K99-K84</f>
        <v>0</v>
      </c>
      <c r="L158" s="254">
        <f>L156-L146-L134-L99-L84</f>
        <v>0</v>
      </c>
      <c r="M158" s="254">
        <f>M156-M146-M134-M99-M84</f>
        <v>0</v>
      </c>
      <c r="N158" s="254">
        <f>N156-N146-N134-N99-N84</f>
        <v>0</v>
      </c>
      <c r="O158" s="254">
        <f>O156-O146-O134-O99-O84</f>
        <v>0</v>
      </c>
      <c r="P158" s="255">
        <f>SUM(K158:O158)</f>
        <v>0</v>
      </c>
      <c r="R158" s="1" t="s">
        <v>28</v>
      </c>
    </row>
    <row r="159" spans="1:18" x14ac:dyDescent="0.2">
      <c r="A159" s="172"/>
      <c r="B159" s="222"/>
      <c r="C159" s="222"/>
      <c r="D159" s="184" t="s">
        <v>91</v>
      </c>
      <c r="E159" s="185"/>
      <c r="F159" s="185"/>
      <c r="G159" s="185"/>
      <c r="H159" s="185"/>
      <c r="I159" s="172"/>
      <c r="J159" s="172"/>
      <c r="K159" s="254"/>
      <c r="L159" s="254"/>
      <c r="M159" s="254"/>
      <c r="N159" s="254"/>
      <c r="O159" s="254"/>
      <c r="P159" s="255"/>
    </row>
    <row r="160" spans="1:18" x14ac:dyDescent="0.2">
      <c r="A160" s="172"/>
      <c r="B160" s="256" t="s">
        <v>149</v>
      </c>
      <c r="C160" s="257"/>
      <c r="D160" s="440" t="s">
        <v>141</v>
      </c>
      <c r="E160" s="440"/>
      <c r="F160" s="440"/>
      <c r="G160" s="258"/>
      <c r="H160" s="258"/>
      <c r="I160" s="259"/>
      <c r="J160" s="259"/>
      <c r="K160" s="276">
        <f>IF(D160=AG5,0,IF(K162&gt;0,0,VLOOKUP(K5,'F&amp;A History'!$C:$K,VLOOKUP(D160,$AG$5:$AH$11,2,FALSE),TRUE)/100))</f>
        <v>0.49</v>
      </c>
      <c r="L160" s="276">
        <f>IF($A$1&gt;1,IF(D160=AG5,0,IF(K162&gt;0,0,VLOOKUP(L5,'F&amp;A History'!$C:$K,VLOOKUP(D160,$AG$5:$AH$11,2,FALSE),TRUE)/100)),"")</f>
        <v>0.49</v>
      </c>
      <c r="M160" s="276">
        <f>IF($A$1&gt;2,IF(D160=AG5,0,IF(K162&gt;0,0,VLOOKUP(M5,'F&amp;A History'!$C:$K,VLOOKUP(D160,$AG$5:$AH$11,2,FALSE),TRUE)/100)),"")</f>
        <v>0.49</v>
      </c>
      <c r="N160" s="276">
        <f>IF($A$1&gt;3,IF(D160=AG5,0,IF(K162&gt;0,0,VLOOKUP(N5,'F&amp;A History'!$C:$K,VLOOKUP(D160,$AG$5:$AH$11,2,FALSE),TRUE)/100)),"")</f>
        <v>0.49</v>
      </c>
      <c r="O160" s="276">
        <f>IF($A$1&gt;4,IF(D160=AG5,0,IF(K162&gt;0,0,VLOOKUP(O5,'F&amp;A History'!$C:$K,VLOOKUP(D160,$AG$5:$AH$11,2,FALSE),TRUE)/100)),"")</f>
        <v>0.49</v>
      </c>
      <c r="P160" s="260"/>
    </row>
    <row r="161" spans="1:17" x14ac:dyDescent="0.2">
      <c r="A161" s="172"/>
      <c r="B161" s="185"/>
      <c r="C161" s="185"/>
      <c r="D161" s="185"/>
      <c r="E161" s="185"/>
      <c r="F161" s="185"/>
      <c r="G161" s="185"/>
      <c r="H161" s="185"/>
      <c r="I161" s="172"/>
      <c r="J161" s="172"/>
      <c r="K161" s="261"/>
      <c r="L161" s="262"/>
      <c r="M161" s="262"/>
      <c r="N161" s="262"/>
      <c r="O161" s="262"/>
      <c r="P161" s="263"/>
    </row>
    <row r="162" spans="1:17" x14ac:dyDescent="0.2">
      <c r="A162" s="172"/>
      <c r="B162" s="389" t="s">
        <v>151</v>
      </c>
      <c r="C162" s="264"/>
      <c r="D162" s="265"/>
      <c r="E162" s="265"/>
      <c r="F162" s="265"/>
      <c r="G162" s="265"/>
      <c r="H162" s="265"/>
      <c r="I162" s="266"/>
      <c r="J162" s="266"/>
      <c r="K162" s="267"/>
      <c r="L162" s="267"/>
      <c r="M162" s="267"/>
      <c r="N162" s="267"/>
      <c r="O162" s="267"/>
      <c r="P162" s="268"/>
    </row>
    <row r="163" spans="1:17" x14ac:dyDescent="0.2">
      <c r="A163" s="172"/>
      <c r="B163" s="231"/>
      <c r="C163" s="222"/>
      <c r="D163" s="185"/>
      <c r="E163" s="185"/>
      <c r="F163" s="185"/>
      <c r="G163" s="185"/>
      <c r="H163" s="185"/>
      <c r="I163" s="30"/>
      <c r="J163" s="30"/>
      <c r="K163" s="254"/>
      <c r="L163" s="254"/>
      <c r="M163" s="254"/>
      <c r="N163" s="254"/>
      <c r="O163" s="254"/>
      <c r="P163" s="255"/>
    </row>
    <row r="164" spans="1:17" x14ac:dyDescent="0.2">
      <c r="A164" s="172"/>
      <c r="B164" s="231" t="s">
        <v>150</v>
      </c>
      <c r="C164" s="222"/>
      <c r="D164" s="185"/>
      <c r="E164" s="185"/>
      <c r="F164" s="185"/>
      <c r="G164" s="185"/>
      <c r="H164" s="185"/>
      <c r="I164" s="30"/>
      <c r="J164" s="30"/>
      <c r="K164" s="269">
        <f>ROUND(IF(ISBLANK(K162),K158*K160,K162*K156),0)</f>
        <v>0</v>
      </c>
      <c r="L164" s="269">
        <f>ROUND(IF(ISBLANK(L162),L158*L160,L162*L156),0)</f>
        <v>0</v>
      </c>
      <c r="M164" s="269">
        <f>ROUND(IF(ISBLANK(M162),M158*M160,M162*M156),0)</f>
        <v>0</v>
      </c>
      <c r="N164" s="269">
        <f>ROUND(IF(ISBLANK(N162),N158*N160,N162*N156),0)</f>
        <v>0</v>
      </c>
      <c r="O164" s="269">
        <f>ROUND(IF(ISBLANK(O162),O158*O160,O162*O156),0)</f>
        <v>0</v>
      </c>
      <c r="P164" s="270">
        <f>SUM(K164:O164)</f>
        <v>0</v>
      </c>
    </row>
    <row r="165" spans="1:17" x14ac:dyDescent="0.2">
      <c r="A165" s="172"/>
      <c r="B165" s="231"/>
      <c r="C165" s="222"/>
      <c r="D165" s="185"/>
      <c r="E165" s="185"/>
      <c r="F165" s="185"/>
      <c r="G165" s="185"/>
      <c r="H165" s="185"/>
      <c r="I165" s="30"/>
      <c r="J165" s="30"/>
      <c r="K165" s="254"/>
      <c r="L165" s="254"/>
      <c r="M165" s="254"/>
      <c r="N165" s="254"/>
      <c r="O165" s="254"/>
      <c r="P165" s="255"/>
    </row>
    <row r="166" spans="1:17" x14ac:dyDescent="0.2">
      <c r="A166" s="172"/>
      <c r="B166" s="231"/>
      <c r="C166" s="222"/>
      <c r="D166" s="185"/>
      <c r="E166" s="185"/>
      <c r="F166" s="185"/>
      <c r="G166" s="185"/>
      <c r="H166" s="185"/>
      <c r="I166" s="30"/>
      <c r="J166" s="30"/>
      <c r="K166" s="254"/>
      <c r="L166" s="254"/>
      <c r="M166" s="254"/>
      <c r="N166" s="254"/>
      <c r="O166" s="254"/>
      <c r="P166" s="255"/>
    </row>
    <row r="167" spans="1:17" x14ac:dyDescent="0.2">
      <c r="A167" s="172"/>
      <c r="B167" s="231" t="s">
        <v>178</v>
      </c>
      <c r="C167" s="222"/>
      <c r="D167" s="303">
        <v>0.75</v>
      </c>
      <c r="E167" s="185" t="str">
        <f>IF(D167=0,"Government Rate",IF(D167=0.75,"Full Partnership",IF(D167=0.2,"Out of State Partnership","In State Partnership")))</f>
        <v>Full Partnership</v>
      </c>
      <c r="G167" s="185"/>
      <c r="H167" s="185"/>
      <c r="I167" s="304">
        <v>0</v>
      </c>
      <c r="J167" s="30"/>
      <c r="K167" s="254">
        <f>K158*$D$167</f>
        <v>0</v>
      </c>
      <c r="L167" s="254">
        <f>L158*$D$167</f>
        <v>0</v>
      </c>
      <c r="M167" s="254">
        <f>M158*$D$167</f>
        <v>0</v>
      </c>
      <c r="N167" s="254">
        <f>N158*$D$167</f>
        <v>0</v>
      </c>
      <c r="O167" s="254">
        <f>O158*$D$167</f>
        <v>0</v>
      </c>
      <c r="P167" s="255">
        <f>SUM(K167:O167)</f>
        <v>0</v>
      </c>
    </row>
    <row r="168" spans="1:17" x14ac:dyDescent="0.2">
      <c r="A168" s="172"/>
      <c r="B168" s="231"/>
      <c r="C168" s="222"/>
      <c r="D168" s="185"/>
      <c r="E168" s="185"/>
      <c r="G168" s="185"/>
      <c r="H168" s="185"/>
      <c r="I168" s="305">
        <v>0.15</v>
      </c>
      <c r="J168" s="30"/>
      <c r="K168" s="254"/>
      <c r="L168" s="254"/>
      <c r="M168" s="254"/>
      <c r="N168" s="254"/>
      <c r="O168" s="254"/>
      <c r="P168" s="255"/>
    </row>
    <row r="169" spans="1:17" ht="13.5" thickBot="1" x14ac:dyDescent="0.25">
      <c r="A169" s="172"/>
      <c r="B169" s="194" t="s">
        <v>92</v>
      </c>
      <c r="C169" s="194"/>
      <c r="D169" s="194"/>
      <c r="E169" s="194"/>
      <c r="G169" s="194"/>
      <c r="H169" s="194"/>
      <c r="I169" s="304">
        <v>0.2</v>
      </c>
      <c r="J169" s="172"/>
      <c r="K169" s="271">
        <f>IF(NOT(ISBLANK(K162)),K156+K164+K167,IF($D$160=$AG$5,"F&amp;A?",SUM(K156+K164+K167)))</f>
        <v>0</v>
      </c>
      <c r="L169" s="271">
        <f>IF(NOT(ISBLANK(L162)),L156+L164+L167,IF($D$160=$AG$5,"F&amp;A?",SUM(L156+L164+L167)))</f>
        <v>0</v>
      </c>
      <c r="M169" s="271">
        <f>IF(NOT(ISBLANK(M162)),M156+M164+M167,IF($D$160=$AG$5,"F&amp;A?",SUM(M156+M164+M167)))</f>
        <v>0</v>
      </c>
      <c r="N169" s="271">
        <f>IF(NOT(ISBLANK(N162)),N156+N164+N167,IF($D$160=$AG$5,"F&amp;A?",SUM(N156+N164+N167)))</f>
        <v>0</v>
      </c>
      <c r="O169" s="271">
        <f>IF(NOT(ISBLANK(O162)),O156+O164+O167,IF($D$160=$AG$5,"F&amp;A?",SUM(O156+O164+O167)))</f>
        <v>0</v>
      </c>
      <c r="P169" s="272">
        <f>SUM(K169:O169)</f>
        <v>0</v>
      </c>
    </row>
    <row r="170" spans="1:17" ht="13.5" thickTop="1" x14ac:dyDescent="0.2">
      <c r="A170" s="172"/>
      <c r="B170" s="237"/>
      <c r="C170" s="222"/>
      <c r="D170" s="273"/>
      <c r="E170" s="273"/>
      <c r="G170" s="273"/>
      <c r="H170" s="273"/>
      <c r="I170" s="305">
        <v>0.75</v>
      </c>
      <c r="J170" s="273"/>
      <c r="K170" s="274"/>
      <c r="L170" s="274"/>
      <c r="M170" s="274"/>
      <c r="N170" s="274"/>
      <c r="O170" s="274"/>
      <c r="P170" s="275"/>
    </row>
    <row r="171" spans="1:17" x14ac:dyDescent="0.2">
      <c r="B171" s="8"/>
      <c r="C171" s="8"/>
      <c r="D171" s="147"/>
      <c r="E171" s="147"/>
      <c r="G171" s="147"/>
      <c r="H171" s="147"/>
      <c r="I171" s="147"/>
      <c r="J171" s="147"/>
      <c r="K171" s="147"/>
      <c r="L171" s="147"/>
      <c r="M171" s="147"/>
      <c r="N171" s="147"/>
      <c r="O171" s="147"/>
      <c r="P171" s="289"/>
    </row>
    <row r="172" spans="1:17" x14ac:dyDescent="0.2">
      <c r="B172" s="93"/>
      <c r="C172" s="93"/>
      <c r="D172" s="148"/>
      <c r="E172" s="148"/>
      <c r="F172" s="148"/>
      <c r="G172" s="148"/>
      <c r="H172" s="149"/>
      <c r="I172" s="150"/>
      <c r="J172" s="150"/>
      <c r="K172" s="151"/>
      <c r="L172" s="152"/>
      <c r="M172" s="152"/>
      <c r="N172" s="152"/>
      <c r="O172" s="152"/>
      <c r="P172" s="289"/>
      <c r="Q172" s="290"/>
    </row>
    <row r="173" spans="1:17" x14ac:dyDescent="0.2">
      <c r="B173" s="285" t="s">
        <v>81</v>
      </c>
      <c r="C173" s="282">
        <f>U14-1</f>
        <v>3.0000000000000027E-2</v>
      </c>
      <c r="D173" s="144"/>
      <c r="E173" s="144"/>
      <c r="F173" s="144"/>
      <c r="G173" s="144"/>
      <c r="H173" s="144"/>
      <c r="I173" s="144"/>
      <c r="J173" s="144"/>
      <c r="K173" s="145"/>
      <c r="L173" s="10"/>
      <c r="M173" s="10"/>
      <c r="N173" s="10"/>
      <c r="O173" s="94"/>
      <c r="P173" s="289"/>
    </row>
    <row r="174" spans="1:17" x14ac:dyDescent="0.2">
      <c r="B174" s="2" t="s">
        <v>189</v>
      </c>
      <c r="C174" s="281">
        <f>U13-1</f>
        <v>4.0000000000000036E-2</v>
      </c>
      <c r="D174" s="93"/>
      <c r="E174" s="93"/>
      <c r="F174" s="93"/>
      <c r="G174" s="93"/>
      <c r="H174" s="93"/>
      <c r="I174" s="93"/>
      <c r="J174" s="93"/>
      <c r="K174" s="136"/>
      <c r="L174" s="10"/>
      <c r="M174" s="10"/>
      <c r="N174" s="10"/>
      <c r="O174" s="94"/>
    </row>
    <row r="175" spans="1:17" x14ac:dyDescent="0.2">
      <c r="B175" s="137" t="s">
        <v>138</v>
      </c>
      <c r="C175" s="281">
        <f>U15-1</f>
        <v>3.6999999999999922E-2</v>
      </c>
      <c r="D175" s="93"/>
      <c r="E175" s="93"/>
      <c r="F175" s="93"/>
      <c r="G175" s="93"/>
      <c r="H175" s="93"/>
      <c r="I175" s="93"/>
      <c r="J175" s="93"/>
      <c r="K175" s="136"/>
      <c r="Q175" s="20" t="s">
        <v>28</v>
      </c>
    </row>
    <row r="176" spans="1:17" ht="13.5" x14ac:dyDescent="0.25">
      <c r="B176" s="141" t="s">
        <v>196</v>
      </c>
      <c r="C176" s="282"/>
      <c r="D176" s="144"/>
      <c r="E176" s="144"/>
      <c r="F176" s="144"/>
      <c r="G176" s="144"/>
      <c r="H176" s="144"/>
      <c r="I176" s="144"/>
      <c r="J176" s="144"/>
      <c r="K176" s="145"/>
    </row>
    <row r="177" spans="2:15" x14ac:dyDescent="0.2">
      <c r="B177" s="2" t="s">
        <v>87</v>
      </c>
      <c r="C177" s="281">
        <f>IF($R$8="Y",AF10-1,0)</f>
        <v>2.6999999999999913E-2</v>
      </c>
      <c r="K177" s="135"/>
    </row>
    <row r="178" spans="2:15" x14ac:dyDescent="0.2">
      <c r="B178" s="2" t="s">
        <v>86</v>
      </c>
      <c r="C178" s="281">
        <f>IF($R$8="Y",AF11-1,0)</f>
        <v>2.6999999999999913E-2</v>
      </c>
      <c r="K178" s="135"/>
    </row>
    <row r="179" spans="2:15" x14ac:dyDescent="0.2">
      <c r="B179" s="138" t="s">
        <v>139</v>
      </c>
      <c r="C179" s="283">
        <f>IF($R$8="Y",AF12-1,0)</f>
        <v>2.6999999999999913E-2</v>
      </c>
      <c r="D179" s="139"/>
      <c r="E179" s="139"/>
      <c r="F179" s="139"/>
      <c r="G179" s="139"/>
      <c r="H179" s="139"/>
      <c r="I179" s="139"/>
      <c r="J179" s="139"/>
      <c r="K179" s="140"/>
      <c r="O179" s="1" t="s">
        <v>28</v>
      </c>
    </row>
    <row r="180" spans="2:15" ht="13.5" x14ac:dyDescent="0.25">
      <c r="B180" s="291" t="s">
        <v>197</v>
      </c>
      <c r="C180" s="281">
        <f>IF($R$8="Y",AF6-1,0)</f>
        <v>2.9400000000000093E-2</v>
      </c>
      <c r="K180" s="135"/>
    </row>
    <row r="181" spans="2:15" ht="13.5" x14ac:dyDescent="0.25">
      <c r="B181" s="291" t="s">
        <v>198</v>
      </c>
      <c r="C181" s="281">
        <f>IF($R$8="Y",AF7-1,0)</f>
        <v>2.9800000000000049E-2</v>
      </c>
      <c r="K181" s="135"/>
    </row>
    <row r="182" spans="2:15" ht="13.5" x14ac:dyDescent="0.25">
      <c r="B182" s="291" t="s">
        <v>199</v>
      </c>
      <c r="C182" s="281">
        <f>IF($R$8="Y",AF8-1,0)</f>
        <v>5.2000000000000046E-2</v>
      </c>
      <c r="K182" s="135"/>
    </row>
    <row r="183" spans="2:15" x14ac:dyDescent="0.2">
      <c r="B183" s="142" t="s">
        <v>122</v>
      </c>
      <c r="C183" s="143"/>
      <c r="D183" s="144"/>
      <c r="E183" s="144"/>
      <c r="F183" s="144"/>
      <c r="G183" s="144"/>
      <c r="H183" s="144"/>
      <c r="I183" s="144"/>
      <c r="J183" s="144"/>
      <c r="K183" s="145"/>
    </row>
    <row r="184" spans="2:15" x14ac:dyDescent="0.2">
      <c r="B184" s="2" t="s">
        <v>123</v>
      </c>
      <c r="K184" s="135"/>
    </row>
    <row r="185" spans="2:15" x14ac:dyDescent="0.2">
      <c r="B185" s="2" t="s">
        <v>124</v>
      </c>
      <c r="K185" s="135"/>
    </row>
    <row r="186" spans="2:15" x14ac:dyDescent="0.2">
      <c r="B186" s="2" t="s">
        <v>125</v>
      </c>
      <c r="K186" s="135"/>
    </row>
    <row r="187" spans="2:15" x14ac:dyDescent="0.2">
      <c r="B187" s="2" t="s">
        <v>126</v>
      </c>
      <c r="K187" s="135"/>
    </row>
    <row r="188" spans="2:15" x14ac:dyDescent="0.2">
      <c r="B188" s="2" t="s">
        <v>127</v>
      </c>
      <c r="K188" s="135"/>
    </row>
    <row r="189" spans="2:15" x14ac:dyDescent="0.2">
      <c r="B189" s="2" t="s">
        <v>128</v>
      </c>
      <c r="K189" s="135"/>
    </row>
    <row r="190" spans="2:15" x14ac:dyDescent="0.2">
      <c r="B190" s="138"/>
      <c r="C190" s="139"/>
      <c r="D190" s="139"/>
      <c r="E190" s="139"/>
      <c r="F190" s="139"/>
      <c r="G190" s="139"/>
      <c r="H190" s="139"/>
      <c r="I190" s="139"/>
      <c r="J190" s="139"/>
      <c r="K190" s="140"/>
    </row>
    <row r="192" spans="2:15" x14ac:dyDescent="0.2">
      <c r="M192" s="1" t="s">
        <v>28</v>
      </c>
    </row>
    <row r="227" spans="2:15" x14ac:dyDescent="0.2"/>
  </sheetData>
  <mergeCells count="1">
    <mergeCell ref="D160:F160"/>
  </mergeCells>
  <conditionalFormatting sqref="B2:C2">
    <cfRule type="cellIs" dxfId="3" priority="3" stopIfTrue="1" operator="greaterThan">
      <formula>""""""</formula>
    </cfRule>
  </conditionalFormatting>
  <conditionalFormatting sqref="C12:C22">
    <cfRule type="expression" dxfId="2" priority="1" stopIfTrue="1">
      <formula>$B12=""</formula>
    </cfRule>
  </conditionalFormatting>
  <conditionalFormatting sqref="D160">
    <cfRule type="expression" dxfId="1" priority="4" stopIfTrue="1">
      <formula>NOT(ISNONTEXT(#REF!))</formula>
    </cfRule>
    <cfRule type="expression" dxfId="0" priority="5" stopIfTrue="1">
      <formula>ISNONTEXT(#REF!)</formula>
    </cfRule>
  </conditionalFormatting>
  <dataValidations count="4">
    <dataValidation type="list" showInputMessage="1" showErrorMessage="1" sqref="B47 B40" xr:uid="{49F04E98-0E3C-455E-A948-52DBCE2A6805}">
      <formula1>"GTF I or II,GTF III"</formula1>
    </dataValidation>
    <dataValidation type="list" allowBlank="1" showInputMessage="1" showErrorMessage="1" sqref="D160:F160" xr:uid="{77C80856-7A70-4724-BD30-8AF399B46DA8}">
      <formula1>$AG$5:$AG$11</formula1>
    </dataValidation>
    <dataValidation type="list" allowBlank="1" showInputMessage="1" showErrorMessage="1" sqref="D167" xr:uid="{19FF2AC4-6AEB-40C0-AD5F-ADBB3D242C34}">
      <formula1>$I$167:$I$170</formula1>
    </dataValidation>
    <dataValidation type="list" showInputMessage="1" showErrorMessage="1" sqref="C12:C22" xr:uid="{FF23E9C8-AF88-4080-B32E-9C5D34E9078B}">
      <formula1>$AJ$5:$AJ$13</formula1>
    </dataValidation>
  </dataValidations>
  <printOptions horizontalCentered="1" gridLines="1" gridLinesSet="0"/>
  <pageMargins left="0.5" right="0.5" top="1" bottom="1" header="0.5" footer="0.5"/>
  <pageSetup scale="49" fitToHeight="4" orientation="portrait" horizontalDpi="4294967292" r:id="rId1"/>
  <headerFooter alignWithMargins="0">
    <oddFooter>Page &amp;p</oddFooter>
  </headerFooter>
  <rowBreaks count="1" manualBreakCount="1">
    <brk id="130" max="14" man="1"/>
  </rowBreaks>
  <ignoredErrors>
    <ignoredError sqref="K25:L25 L5:O6 B52:B62 B2 K159:P159 K168:P168 K77:P78 K12:P22 K26:P31 L32:P33 K37:P38 K44:P45 P76 I72 P73:P74 K48:P48 K52:P62 D26:I30 M25:P25 P67:P71 K72:O75 P164 P167 P169 O66:P66 B66:B71 K66:N67 O67:O71 K68:N71 E167 K79:O79" unlocked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3A82E-94F7-47C8-9FB7-C751BF4147E0}">
  <sheetPr>
    <tabColor rgb="FFFFFFCC"/>
  </sheetPr>
  <dimension ref="A1:G20"/>
  <sheetViews>
    <sheetView workbookViewId="0">
      <selection activeCell="B17" sqref="B17:B19"/>
    </sheetView>
  </sheetViews>
  <sheetFormatPr defaultRowHeight="12.75" x14ac:dyDescent="0.2"/>
  <cols>
    <col min="1" max="1" width="34.7109375" customWidth="1"/>
    <col min="2" max="6" width="12.7109375" customWidth="1"/>
    <col min="7" max="7" width="13.42578125" customWidth="1"/>
  </cols>
  <sheetData>
    <row r="1" spans="1:7" ht="102.75" customHeight="1" x14ac:dyDescent="0.2">
      <c r="A1" s="444" t="s">
        <v>183</v>
      </c>
      <c r="B1" s="445"/>
      <c r="C1" s="445"/>
      <c r="D1" s="445"/>
      <c r="E1" s="445"/>
      <c r="F1" s="445"/>
      <c r="G1" s="446"/>
    </row>
    <row r="2" spans="1:7" ht="31.7" customHeight="1" x14ac:dyDescent="0.2">
      <c r="A2" s="441" t="s">
        <v>179</v>
      </c>
      <c r="B2" s="442"/>
      <c r="C2" s="442"/>
      <c r="D2" s="442"/>
      <c r="E2" s="442"/>
      <c r="F2" s="442"/>
      <c r="G2" s="443"/>
    </row>
    <row r="3" spans="1:7" ht="15" x14ac:dyDescent="0.25">
      <c r="A3" s="356" t="s">
        <v>180</v>
      </c>
      <c r="B3" s="312" t="s">
        <v>181</v>
      </c>
      <c r="C3" s="313">
        <f>'SPS Internal Use Generic 5 yr'!C3</f>
        <v>0</v>
      </c>
      <c r="D3" s="314"/>
      <c r="E3" s="314"/>
      <c r="F3" s="314"/>
      <c r="G3" s="357"/>
    </row>
    <row r="4" spans="1:7" ht="15" x14ac:dyDescent="0.25">
      <c r="A4" s="358"/>
      <c r="B4" s="315" t="s">
        <v>1</v>
      </c>
      <c r="C4" s="315" t="s">
        <v>2</v>
      </c>
      <c r="D4" s="315" t="s">
        <v>3</v>
      </c>
      <c r="E4" s="315" t="s">
        <v>32</v>
      </c>
      <c r="F4" s="315" t="s">
        <v>33</v>
      </c>
      <c r="G4" s="359" t="s">
        <v>4</v>
      </c>
    </row>
    <row r="5" spans="1:7" ht="15" x14ac:dyDescent="0.25">
      <c r="A5" s="358"/>
      <c r="B5" s="316">
        <f>'SPS Internal Use Generic 5 yr'!K5</f>
        <v>46204</v>
      </c>
      <c r="C5" s="316">
        <f>'SPS Internal Use Generic 5 yr'!L5</f>
        <v>46569</v>
      </c>
      <c r="D5" s="316">
        <f>'SPS Internal Use Generic 5 yr'!M5</f>
        <v>46935</v>
      </c>
      <c r="E5" s="316">
        <f>'SPS Internal Use Generic 5 yr'!N5</f>
        <v>47300</v>
      </c>
      <c r="F5" s="316">
        <f>'SPS Internal Use Generic 5 yr'!O5</f>
        <v>47665</v>
      </c>
      <c r="G5" s="360"/>
    </row>
    <row r="6" spans="1:7" ht="15" x14ac:dyDescent="0.25">
      <c r="A6" s="361"/>
      <c r="B6" s="316">
        <f>'SPS Internal Use Generic 5 yr'!K6</f>
        <v>46568</v>
      </c>
      <c r="C6" s="316">
        <f>'SPS Internal Use Generic 5 yr'!L6</f>
        <v>46934</v>
      </c>
      <c r="D6" s="316">
        <f>'SPS Internal Use Generic 5 yr'!M6</f>
        <v>47299</v>
      </c>
      <c r="E6" s="316">
        <f>'SPS Internal Use Generic 5 yr'!N6</f>
        <v>47664</v>
      </c>
      <c r="F6" s="316">
        <f>'SPS Internal Use Generic 5 yr'!O6</f>
        <v>48029</v>
      </c>
      <c r="G6" s="360"/>
    </row>
    <row r="7" spans="1:7" ht="15" x14ac:dyDescent="0.25">
      <c r="A7" s="361"/>
      <c r="B7" s="314"/>
      <c r="C7" s="314"/>
      <c r="D7" s="314"/>
      <c r="E7" s="314"/>
      <c r="F7" s="314"/>
      <c r="G7" s="360"/>
    </row>
    <row r="8" spans="1:7" ht="14.25" x14ac:dyDescent="0.2">
      <c r="A8" s="361" t="s">
        <v>184</v>
      </c>
      <c r="B8" s="318">
        <f>'SPS Internal Use Generic 5 yr'!K79</f>
        <v>0</v>
      </c>
      <c r="C8" s="318">
        <f>'SPS Internal Use Generic 5 yr'!L79</f>
        <v>0</v>
      </c>
      <c r="D8" s="318">
        <f>'SPS Internal Use Generic 5 yr'!M79</f>
        <v>0</v>
      </c>
      <c r="E8" s="318">
        <f>'SPS Internal Use Generic 5 yr'!N79</f>
        <v>0</v>
      </c>
      <c r="F8" s="318">
        <f>'SPS Internal Use Generic 5 yr'!O79</f>
        <v>0</v>
      </c>
      <c r="G8" s="362">
        <f t="shared" ref="G8:G13" si="0">SUM(B8:F8)</f>
        <v>0</v>
      </c>
    </row>
    <row r="9" spans="1:7" ht="14.25" x14ac:dyDescent="0.2">
      <c r="A9" s="363" t="s">
        <v>259</v>
      </c>
      <c r="B9" s="306">
        <f>'SPS Internal Use Generic 5 yr'!K84</f>
        <v>0</v>
      </c>
      <c r="C9" s="306">
        <f>'SPS Internal Use Generic 5 yr'!L84</f>
        <v>0</v>
      </c>
      <c r="D9" s="306">
        <f>'SPS Internal Use Generic 5 yr'!M84</f>
        <v>0</v>
      </c>
      <c r="E9" s="306">
        <f>'SPS Internal Use Generic 5 yr'!N84</f>
        <v>0</v>
      </c>
      <c r="F9" s="306">
        <f>'SPS Internal Use Generic 5 yr'!O84</f>
        <v>0</v>
      </c>
      <c r="G9" s="364">
        <f t="shared" si="0"/>
        <v>0</v>
      </c>
    </row>
    <row r="10" spans="1:7" ht="14.25" x14ac:dyDescent="0.2">
      <c r="A10" s="363" t="s">
        <v>10</v>
      </c>
      <c r="B10" s="306">
        <f>'SPS Internal Use Generic 5 yr'!K91</f>
        <v>0</v>
      </c>
      <c r="C10" s="306">
        <f>'SPS Internal Use Generic 5 yr'!L91</f>
        <v>0</v>
      </c>
      <c r="D10" s="306">
        <f>'SPS Internal Use Generic 5 yr'!M91</f>
        <v>0</v>
      </c>
      <c r="E10" s="306">
        <f>'SPS Internal Use Generic 5 yr'!N91</f>
        <v>0</v>
      </c>
      <c r="F10" s="306">
        <f>'SPS Internal Use Generic 5 yr'!O91</f>
        <v>0</v>
      </c>
      <c r="G10" s="364">
        <f t="shared" si="0"/>
        <v>0</v>
      </c>
    </row>
    <row r="11" spans="1:7" ht="14.25" x14ac:dyDescent="0.2">
      <c r="A11" s="365" t="s">
        <v>185</v>
      </c>
      <c r="B11" s="306">
        <f>'SPS Internal Use Generic 5 yr'!K153</f>
        <v>0</v>
      </c>
      <c r="C11" s="306">
        <f>'SPS Internal Use Generic 5 yr'!L153</f>
        <v>0</v>
      </c>
      <c r="D11" s="306">
        <f>'SPS Internal Use Generic 5 yr'!M153</f>
        <v>0</v>
      </c>
      <c r="E11" s="306">
        <f>'SPS Internal Use Generic 5 yr'!N153</f>
        <v>0</v>
      </c>
      <c r="F11" s="306">
        <f>'SPS Internal Use Generic 5 yr'!O153</f>
        <v>0</v>
      </c>
      <c r="G11" s="364">
        <f t="shared" si="0"/>
        <v>0</v>
      </c>
    </row>
    <row r="12" spans="1:7" ht="14.25" x14ac:dyDescent="0.2">
      <c r="A12" s="363" t="s">
        <v>186</v>
      </c>
      <c r="B12" s="306">
        <f>'SPS Internal Use Generic 5 yr'!K164+'SPS Internal Use Generic 5 yr'!K167</f>
        <v>0</v>
      </c>
      <c r="C12" s="306">
        <f>'SPS Internal Use Generic 5 yr'!L164+'SPS Internal Use Generic 5 yr'!L167</f>
        <v>0</v>
      </c>
      <c r="D12" s="306">
        <f>'SPS Internal Use Generic 5 yr'!M164+'SPS Internal Use Generic 5 yr'!M167</f>
        <v>0</v>
      </c>
      <c r="E12" s="306">
        <f>'SPS Internal Use Generic 5 yr'!N164+'SPS Internal Use Generic 5 yr'!N167</f>
        <v>0</v>
      </c>
      <c r="F12" s="306">
        <f>'SPS Internal Use Generic 5 yr'!O164+'SPS Internal Use Generic 5 yr'!O167</f>
        <v>0</v>
      </c>
      <c r="G12" s="366">
        <f t="shared" si="0"/>
        <v>0</v>
      </c>
    </row>
    <row r="13" spans="1:7" ht="15" thickBot="1" x14ac:dyDescent="0.25">
      <c r="A13" s="367" t="s">
        <v>182</v>
      </c>
      <c r="B13" s="317">
        <f>SUM(B8:B12)</f>
        <v>0</v>
      </c>
      <c r="C13" s="317">
        <f>SUM(C8:C12)</f>
        <v>0</v>
      </c>
      <c r="D13" s="317">
        <f>SUM(D8:D12)</f>
        <v>0</v>
      </c>
      <c r="E13" s="317">
        <f>SUM(E8:E12)</f>
        <v>0</v>
      </c>
      <c r="F13" s="317">
        <f>SUM(F8:F12)</f>
        <v>0</v>
      </c>
      <c r="G13" s="368">
        <f t="shared" si="0"/>
        <v>0</v>
      </c>
    </row>
    <row r="14" spans="1:7" ht="16.5" thickTop="1" thickBot="1" x14ac:dyDescent="0.3">
      <c r="A14" s="369"/>
      <c r="B14" s="370"/>
      <c r="C14" s="371"/>
      <c r="D14" s="371"/>
      <c r="E14" s="371"/>
      <c r="F14" s="371"/>
      <c r="G14" s="372"/>
    </row>
    <row r="15" spans="1:7" ht="14.25" x14ac:dyDescent="0.2">
      <c r="A15" s="308"/>
      <c r="B15" s="306"/>
      <c r="C15" s="306"/>
      <c r="D15" s="306"/>
      <c r="E15" s="306"/>
      <c r="F15" s="306"/>
      <c r="G15" s="306"/>
    </row>
    <row r="16" spans="1:7" ht="14.25" x14ac:dyDescent="0.2">
      <c r="A16" s="307"/>
      <c r="B16" s="306"/>
      <c r="C16" s="306"/>
      <c r="D16" s="306"/>
      <c r="E16" s="306"/>
      <c r="F16" s="306"/>
      <c r="G16" s="306"/>
    </row>
    <row r="17" spans="1:7" ht="14.25" x14ac:dyDescent="0.2">
      <c r="A17" s="308"/>
      <c r="B17" s="306"/>
      <c r="C17" s="306"/>
      <c r="D17" s="306"/>
      <c r="E17" s="306"/>
      <c r="F17" s="306"/>
      <c r="G17" s="306"/>
    </row>
    <row r="18" spans="1:7" ht="14.25" x14ac:dyDescent="0.2">
      <c r="A18" s="309"/>
      <c r="B18" s="306"/>
      <c r="C18" s="306"/>
      <c r="D18" s="306"/>
      <c r="E18" s="306"/>
      <c r="F18" s="306"/>
      <c r="G18" s="306"/>
    </row>
    <row r="19" spans="1:7" ht="14.25" x14ac:dyDescent="0.2">
      <c r="A19" s="307"/>
      <c r="B19" s="306"/>
      <c r="C19" s="306"/>
      <c r="D19" s="306"/>
      <c r="E19" s="306"/>
      <c r="F19" s="306"/>
      <c r="G19" s="306"/>
    </row>
    <row r="20" spans="1:7" ht="15" x14ac:dyDescent="0.25">
      <c r="A20" s="310"/>
      <c r="B20" s="311"/>
      <c r="C20" s="307"/>
      <c r="D20" s="307"/>
      <c r="E20" s="307"/>
      <c r="F20" s="307"/>
      <c r="G20" s="311"/>
    </row>
  </sheetData>
  <mergeCells count="2">
    <mergeCell ref="A2:G2"/>
    <mergeCell ref="A1:G1"/>
  </mergeCells>
  <printOptions horizontalCentered="1"/>
  <pageMargins left="0.45" right="0.45" top="1" bottom="0.75" header="0.3" footer="0.3"/>
  <pageSetup scale="85"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0B569-4325-41CA-B74B-D81B57141063}">
  <sheetPr>
    <tabColor rgb="FF00B0F0"/>
  </sheetPr>
  <dimension ref="A1:Q34"/>
  <sheetViews>
    <sheetView workbookViewId="0"/>
  </sheetViews>
  <sheetFormatPr defaultColWidth="9.140625" defaultRowHeight="12.75" x14ac:dyDescent="0.2"/>
  <cols>
    <col min="1" max="1" width="11.42578125" style="30" customWidth="1"/>
    <col min="2" max="8" width="9.140625" style="30"/>
    <col min="9" max="9" width="6.42578125" style="30" customWidth="1"/>
    <col min="10" max="12" width="9.140625" style="30"/>
    <col min="13" max="13" width="28.42578125" style="30" customWidth="1"/>
    <col min="14" max="16384" width="9.140625" style="30"/>
  </cols>
  <sheetData>
    <row r="1" spans="1:17" x14ac:dyDescent="0.2">
      <c r="A1" s="24"/>
      <c r="B1" s="25"/>
      <c r="C1" s="25"/>
      <c r="D1" s="26" t="s">
        <v>58</v>
      </c>
      <c r="E1" s="25"/>
      <c r="F1" s="25"/>
      <c r="G1" s="25"/>
      <c r="H1" s="27"/>
      <c r="I1" s="28"/>
      <c r="J1" s="28"/>
      <c r="K1" s="28"/>
      <c r="L1" s="28"/>
      <c r="M1" s="28"/>
      <c r="N1" s="28"/>
      <c r="O1" s="28"/>
      <c r="P1" s="28"/>
      <c r="Q1" s="29"/>
    </row>
    <row r="2" spans="1:17" x14ac:dyDescent="0.2">
      <c r="A2" s="31"/>
      <c r="B2" s="32"/>
      <c r="C2"/>
      <c r="D2" s="32"/>
      <c r="E2" s="33"/>
      <c r="F2" s="32"/>
      <c r="G2" s="34"/>
      <c r="H2" s="35"/>
      <c r="Q2" s="29"/>
    </row>
    <row r="3" spans="1:17" x14ac:dyDescent="0.2">
      <c r="A3" s="36" t="s">
        <v>59</v>
      </c>
      <c r="B3" s="37"/>
      <c r="C3" s="37"/>
      <c r="D3" s="37"/>
      <c r="E3" s="37"/>
      <c r="F3" s="37"/>
      <c r="G3" s="37"/>
      <c r="H3" s="38"/>
    </row>
    <row r="4" spans="1:17" x14ac:dyDescent="0.2">
      <c r="A4" s="36" t="s">
        <v>60</v>
      </c>
      <c r="B4"/>
      <c r="C4"/>
      <c r="D4"/>
      <c r="E4"/>
      <c r="F4"/>
      <c r="G4"/>
      <c r="H4" s="39"/>
    </row>
    <row r="5" spans="1:17" x14ac:dyDescent="0.2">
      <c r="A5" s="31"/>
      <c r="B5" s="33"/>
      <c r="C5" s="33"/>
      <c r="D5" s="33"/>
      <c r="E5" s="33"/>
      <c r="F5" s="33"/>
      <c r="G5" s="33"/>
      <c r="H5" s="35"/>
    </row>
    <row r="6" spans="1:17" x14ac:dyDescent="0.2">
      <c r="A6" s="40" t="s">
        <v>61</v>
      </c>
      <c r="B6" s="41"/>
      <c r="C6" s="41"/>
      <c r="D6" s="41" t="s">
        <v>62</v>
      </c>
      <c r="E6" s="41"/>
      <c r="F6" s="42"/>
      <c r="G6" s="41" t="s">
        <v>63</v>
      </c>
      <c r="H6" s="43"/>
      <c r="I6" s="44"/>
    </row>
    <row r="7" spans="1:17" x14ac:dyDescent="0.2">
      <c r="A7" s="45" t="s">
        <v>64</v>
      </c>
      <c r="B7" s="46"/>
      <c r="C7" s="41"/>
      <c r="D7" s="46" t="s">
        <v>65</v>
      </c>
      <c r="E7" s="46"/>
      <c r="F7" s="47"/>
      <c r="G7" s="46" t="s">
        <v>66</v>
      </c>
      <c r="H7" s="48"/>
      <c r="I7" s="28"/>
      <c r="J7" s="28"/>
      <c r="K7" s="28"/>
      <c r="L7" s="28"/>
      <c r="M7" s="28"/>
      <c r="N7" s="28"/>
      <c r="O7" s="28"/>
      <c r="P7" s="28"/>
      <c r="Q7" s="29"/>
    </row>
    <row r="8" spans="1:17" x14ac:dyDescent="0.2">
      <c r="A8" s="47"/>
      <c r="B8" s="47"/>
      <c r="C8" s="47"/>
      <c r="D8" s="47"/>
      <c r="E8" s="47"/>
      <c r="F8" s="47"/>
      <c r="G8" s="47"/>
      <c r="H8" s="49"/>
      <c r="I8" s="28"/>
      <c r="J8" s="50" t="s">
        <v>67</v>
      </c>
      <c r="K8" s="50" t="s">
        <v>68</v>
      </c>
      <c r="L8" s="50" t="s">
        <v>69</v>
      </c>
      <c r="M8" s="37"/>
      <c r="N8" s="28"/>
      <c r="O8" s="28"/>
      <c r="P8" s="28"/>
      <c r="Q8" s="29"/>
    </row>
    <row r="9" spans="1:17" x14ac:dyDescent="0.2">
      <c r="A9" s="51" t="s">
        <v>70</v>
      </c>
      <c r="B9" s="52" t="s">
        <v>71</v>
      </c>
      <c r="C9" s="52"/>
      <c r="D9" s="51" t="s">
        <v>70</v>
      </c>
      <c r="E9" s="52" t="s">
        <v>72</v>
      </c>
      <c r="F9" s="42"/>
      <c r="G9" s="51" t="s">
        <v>70</v>
      </c>
      <c r="H9" s="53" t="s">
        <v>72</v>
      </c>
      <c r="J9" s="54">
        <f>B10/12</f>
        <v>8.3333333333333329E-2</v>
      </c>
      <c r="K9" s="55">
        <f>E10/12</f>
        <v>8.3333333333333329E-2</v>
      </c>
      <c r="L9" s="55">
        <f>H10/12</f>
        <v>8.3333333333333329E-2</v>
      </c>
      <c r="M9" t="s">
        <v>73</v>
      </c>
      <c r="N9" s="56"/>
      <c r="O9" s="28"/>
      <c r="P9" s="28"/>
      <c r="Q9" s="29"/>
    </row>
    <row r="10" spans="1:17" x14ac:dyDescent="0.2">
      <c r="A10" s="57">
        <f>1/3</f>
        <v>0.33333333333333331</v>
      </c>
      <c r="B10" s="58">
        <f>A10*3</f>
        <v>1</v>
      </c>
      <c r="C10" s="59"/>
      <c r="D10" s="60">
        <f>1/9</f>
        <v>0.1111111111111111</v>
      </c>
      <c r="E10" s="61">
        <f>D10*9</f>
        <v>1</v>
      </c>
      <c r="F10" s="62"/>
      <c r="G10" s="60">
        <f>1/12</f>
        <v>8.3333333333333329E-2</v>
      </c>
      <c r="H10" s="63">
        <f>G10*12</f>
        <v>1</v>
      </c>
      <c r="I10" s="44"/>
      <c r="J10" s="64">
        <f>J9</f>
        <v>8.3333333333333329E-2</v>
      </c>
      <c r="K10" s="64">
        <f>K9</f>
        <v>8.3333333333333329E-2</v>
      </c>
      <c r="L10" s="64">
        <f>L9</f>
        <v>8.3333333333333329E-2</v>
      </c>
      <c r="M10" t="s">
        <v>74</v>
      </c>
    </row>
    <row r="11" spans="1:17" ht="13.5" thickBot="1" x14ac:dyDescent="0.25">
      <c r="A11" s="65"/>
      <c r="B11" s="66"/>
      <c r="C11" s="66"/>
      <c r="D11" s="67"/>
      <c r="E11" s="66"/>
      <c r="F11" s="67"/>
      <c r="G11" s="67"/>
      <c r="H11" s="68"/>
      <c r="I11" s="44"/>
    </row>
    <row r="12" spans="1:17" x14ac:dyDescent="0.2">
      <c r="A12" s="31"/>
      <c r="B12" s="33"/>
      <c r="C12" s="33"/>
      <c r="D12" s="33"/>
      <c r="E12" s="69"/>
      <c r="F12" s="33"/>
      <c r="G12" s="33"/>
      <c r="H12" s="70"/>
      <c r="I12" s="44"/>
    </row>
    <row r="13" spans="1:17" x14ac:dyDescent="0.2">
      <c r="A13" s="71"/>
      <c r="B13" s="72"/>
      <c r="C13" s="72"/>
      <c r="D13" s="73"/>
      <c r="E13" s="73"/>
      <c r="F13" s="73"/>
      <c r="G13" s="73"/>
      <c r="H13" s="74"/>
      <c r="I13" s="44"/>
    </row>
    <row r="14" spans="1:17" x14ac:dyDescent="0.2">
      <c r="A14" s="36" t="s">
        <v>75</v>
      </c>
      <c r="B14" s="37"/>
      <c r="C14" s="37"/>
      <c r="D14" s="37"/>
      <c r="E14" s="37"/>
      <c r="F14" s="37"/>
      <c r="G14" s="37"/>
      <c r="H14" s="38"/>
      <c r="I14" s="44"/>
      <c r="K14" s="30" t="s">
        <v>28</v>
      </c>
      <c r="L14" s="30" t="s">
        <v>28</v>
      </c>
    </row>
    <row r="15" spans="1:17" x14ac:dyDescent="0.2">
      <c r="A15" s="36" t="s">
        <v>76</v>
      </c>
      <c r="B15"/>
      <c r="C15"/>
      <c r="D15"/>
      <c r="E15"/>
      <c r="F15"/>
      <c r="G15"/>
      <c r="H15" s="39"/>
      <c r="I15" s="44"/>
    </row>
    <row r="16" spans="1:17" x14ac:dyDescent="0.2">
      <c r="A16" s="31"/>
      <c r="B16" s="69"/>
      <c r="C16" s="69"/>
      <c r="D16" s="33"/>
      <c r="E16" s="33"/>
      <c r="F16" s="33"/>
      <c r="G16" s="33"/>
      <c r="H16" s="35"/>
      <c r="I16" s="44"/>
    </row>
    <row r="17" spans="1:13" x14ac:dyDescent="0.2">
      <c r="A17" s="447" t="s">
        <v>61</v>
      </c>
      <c r="B17" s="448"/>
      <c r="C17" s="41"/>
      <c r="D17" s="448" t="s">
        <v>62</v>
      </c>
      <c r="E17" s="448"/>
      <c r="F17" s="42"/>
      <c r="G17" s="448" t="s">
        <v>63</v>
      </c>
      <c r="H17" s="449"/>
      <c r="I17" s="44"/>
    </row>
    <row r="18" spans="1:13" x14ac:dyDescent="0.2">
      <c r="A18" s="450" t="s">
        <v>64</v>
      </c>
      <c r="B18" s="451"/>
      <c r="C18" s="41"/>
      <c r="D18" s="451" t="s">
        <v>65</v>
      </c>
      <c r="E18" s="451"/>
      <c r="F18" s="47"/>
      <c r="G18" s="451" t="s">
        <v>66</v>
      </c>
      <c r="H18" s="452"/>
      <c r="I18" s="44"/>
    </row>
    <row r="19" spans="1:13" x14ac:dyDescent="0.2">
      <c r="A19" s="75"/>
      <c r="B19" s="47"/>
      <c r="C19" s="47"/>
      <c r="D19" s="47"/>
      <c r="E19" s="47"/>
      <c r="F19" s="47"/>
      <c r="G19" s="47"/>
      <c r="H19" s="49"/>
      <c r="I19" s="44"/>
      <c r="J19" s="50" t="s">
        <v>67</v>
      </c>
      <c r="K19" s="50" t="s">
        <v>68</v>
      </c>
      <c r="L19" s="50" t="s">
        <v>69</v>
      </c>
      <c r="M19"/>
    </row>
    <row r="20" spans="1:13" x14ac:dyDescent="0.2">
      <c r="A20" s="76" t="s">
        <v>77</v>
      </c>
      <c r="B20" s="51" t="s">
        <v>70</v>
      </c>
      <c r="C20" s="77"/>
      <c r="D20" s="78" t="s">
        <v>77</v>
      </c>
      <c r="E20" s="51" t="s">
        <v>70</v>
      </c>
      <c r="F20" s="79"/>
      <c r="G20" s="78" t="s">
        <v>77</v>
      </c>
      <c r="H20" s="80" t="s">
        <v>70</v>
      </c>
      <c r="I20" s="44"/>
      <c r="J20" s="54">
        <f>A21/12</f>
        <v>8.3333333333333329E-2</v>
      </c>
      <c r="K20" s="55">
        <f>D21/12</f>
        <v>8.3333333333333329E-2</v>
      </c>
      <c r="L20" s="55">
        <f>G21/12</f>
        <v>8.3333333333333329E-2</v>
      </c>
      <c r="M20" t="s">
        <v>73</v>
      </c>
    </row>
    <row r="21" spans="1:13" x14ac:dyDescent="0.2">
      <c r="A21" s="81">
        <v>1</v>
      </c>
      <c r="B21" s="82">
        <f>A21/3</f>
        <v>0.33333333333333331</v>
      </c>
      <c r="C21" s="59"/>
      <c r="D21" s="83">
        <v>1</v>
      </c>
      <c r="E21" s="84">
        <f>D21/9</f>
        <v>0.1111111111111111</v>
      </c>
      <c r="F21" s="62"/>
      <c r="G21" s="83">
        <v>1</v>
      </c>
      <c r="H21" s="85">
        <f>G21/12</f>
        <v>8.3333333333333329E-2</v>
      </c>
      <c r="I21" s="44"/>
      <c r="J21" s="64">
        <f>J20</f>
        <v>8.3333333333333329E-2</v>
      </c>
      <c r="K21" s="64">
        <f>K20</f>
        <v>8.3333333333333329E-2</v>
      </c>
      <c r="L21" s="64">
        <f>L20</f>
        <v>8.3333333333333329E-2</v>
      </c>
      <c r="M21" t="s">
        <v>74</v>
      </c>
    </row>
    <row r="22" spans="1:13" ht="13.5" thickBot="1" x14ac:dyDescent="0.25">
      <c r="A22" s="65"/>
      <c r="B22" s="66"/>
      <c r="C22" s="66"/>
      <c r="D22" s="67"/>
      <c r="E22" s="66"/>
      <c r="F22" s="67"/>
      <c r="G22" s="67"/>
      <c r="H22" s="68"/>
      <c r="I22" s="86"/>
    </row>
    <row r="23" spans="1:13" x14ac:dyDescent="0.2">
      <c r="I23" s="86"/>
    </row>
    <row r="24" spans="1:13" x14ac:dyDescent="0.2">
      <c r="I24" s="86"/>
    </row>
    <row r="25" spans="1:13" x14ac:dyDescent="0.2">
      <c r="I25" s="86"/>
    </row>
    <row r="26" spans="1:13" x14ac:dyDescent="0.2">
      <c r="I26" s="87"/>
    </row>
    <row r="27" spans="1:13" x14ac:dyDescent="0.2">
      <c r="I27" s="87"/>
    </row>
    <row r="28" spans="1:13" x14ac:dyDescent="0.2">
      <c r="I28" s="87"/>
    </row>
    <row r="29" spans="1:13" x14ac:dyDescent="0.2">
      <c r="I29" s="87"/>
    </row>
    <row r="30" spans="1:13" x14ac:dyDescent="0.2">
      <c r="I30" s="87"/>
    </row>
    <row r="31" spans="1:13" x14ac:dyDescent="0.2">
      <c r="I31" s="87"/>
    </row>
    <row r="32" spans="1:13" x14ac:dyDescent="0.2">
      <c r="I32" s="87"/>
    </row>
    <row r="33" spans="1:9" x14ac:dyDescent="0.2">
      <c r="I33" s="87"/>
    </row>
    <row r="34" spans="1:9" x14ac:dyDescent="0.2">
      <c r="A34" s="44"/>
      <c r="B34" s="87"/>
      <c r="C34" s="87"/>
      <c r="D34" s="44"/>
      <c r="E34" s="44"/>
      <c r="F34" s="44"/>
      <c r="G34" s="44"/>
      <c r="H34" s="44"/>
      <c r="I34" s="87"/>
    </row>
  </sheetData>
  <mergeCells count="6">
    <mergeCell ref="A17:B17"/>
    <mergeCell ref="D17:E17"/>
    <mergeCell ref="G17:H17"/>
    <mergeCell ref="A18:B18"/>
    <mergeCell ref="D18:E18"/>
    <mergeCell ref="G18:H18"/>
  </mergeCell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4843B-5E53-4331-A5D5-CC5744A9D1BD}">
  <sheetPr>
    <tabColor theme="9" tint="-0.249977111117893"/>
  </sheetPr>
  <dimension ref="A1:I29"/>
  <sheetViews>
    <sheetView topLeftCell="A9" workbookViewId="0">
      <selection activeCell="D10" sqref="D10"/>
    </sheetView>
  </sheetViews>
  <sheetFormatPr defaultRowHeight="12.75" x14ac:dyDescent="0.2"/>
  <cols>
    <col min="1" max="1" width="17.28515625" customWidth="1"/>
    <col min="2" max="2" width="51.42578125" customWidth="1"/>
    <col min="3" max="3" width="25.42578125" customWidth="1"/>
    <col min="4" max="8" width="13.85546875" customWidth="1"/>
    <col min="9" max="9" width="11.42578125" customWidth="1"/>
  </cols>
  <sheetData>
    <row r="1" spans="1:9" ht="15.75" x14ac:dyDescent="0.25">
      <c r="A1" s="453" t="s">
        <v>95</v>
      </c>
      <c r="B1" s="454"/>
      <c r="C1" s="454"/>
      <c r="D1" s="454"/>
      <c r="E1" s="454"/>
      <c r="F1" s="454"/>
      <c r="G1" s="454"/>
      <c r="H1" s="454"/>
      <c r="I1" s="455"/>
    </row>
    <row r="2" spans="1:9" x14ac:dyDescent="0.2">
      <c r="A2" s="95"/>
      <c r="C2" s="96"/>
      <c r="D2" s="97"/>
      <c r="F2" s="98"/>
      <c r="G2" s="98"/>
      <c r="H2" s="1"/>
      <c r="I2" s="99"/>
    </row>
    <row r="3" spans="1:9" x14ac:dyDescent="0.2">
      <c r="A3" s="100" t="s">
        <v>96</v>
      </c>
      <c r="B3" s="101" t="s">
        <v>97</v>
      </c>
      <c r="C3" s="102">
        <v>225700</v>
      </c>
      <c r="D3" s="133">
        <f>C3/12*9</f>
        <v>169275</v>
      </c>
      <c r="E3" s="133" t="s">
        <v>88</v>
      </c>
      <c r="F3" s="133">
        <f>D3/3</f>
        <v>56425</v>
      </c>
      <c r="G3" s="133" t="s">
        <v>210</v>
      </c>
      <c r="H3" s="96"/>
      <c r="I3" s="99"/>
    </row>
    <row r="4" spans="1:9" ht="14.45" customHeight="1" x14ac:dyDescent="0.2">
      <c r="A4" s="103"/>
      <c r="B4" s="104"/>
      <c r="C4" s="105"/>
      <c r="D4" s="106"/>
      <c r="F4" s="98"/>
      <c r="G4" s="98"/>
      <c r="H4" s="1"/>
      <c r="I4" s="99"/>
    </row>
    <row r="5" spans="1:9" x14ac:dyDescent="0.2">
      <c r="A5" s="107" t="s">
        <v>98</v>
      </c>
      <c r="B5" s="108" t="s">
        <v>99</v>
      </c>
      <c r="C5" s="109">
        <f>C3/2080</f>
        <v>108.50961538461539</v>
      </c>
      <c r="D5" s="110"/>
      <c r="E5" s="96"/>
      <c r="F5" s="96"/>
      <c r="G5" s="96"/>
      <c r="H5" s="96"/>
      <c r="I5" s="99"/>
    </row>
    <row r="6" spans="1:9" x14ac:dyDescent="0.2">
      <c r="A6" s="103"/>
      <c r="B6" s="104"/>
      <c r="C6" s="105"/>
      <c r="D6" s="106" t="s">
        <v>28</v>
      </c>
      <c r="F6" s="98"/>
      <c r="G6" s="98"/>
      <c r="H6" s="1"/>
      <c r="I6" s="99"/>
    </row>
    <row r="7" spans="1:9" x14ac:dyDescent="0.2">
      <c r="A7" s="100" t="s">
        <v>100</v>
      </c>
      <c r="B7" s="101" t="s">
        <v>101</v>
      </c>
      <c r="C7" s="111">
        <v>9</v>
      </c>
      <c r="D7" s="106"/>
      <c r="F7" s="98"/>
      <c r="G7" s="98"/>
      <c r="H7" s="1"/>
      <c r="I7" s="99"/>
    </row>
    <row r="8" spans="1:9" x14ac:dyDescent="0.2">
      <c r="A8" s="100" t="s">
        <v>102</v>
      </c>
      <c r="B8" s="101" t="s">
        <v>103</v>
      </c>
      <c r="C8" s="112">
        <f>D3</f>
        <v>169275</v>
      </c>
      <c r="D8" s="106"/>
      <c r="F8" s="98"/>
      <c r="G8" s="98"/>
      <c r="H8" s="1"/>
      <c r="I8" s="99"/>
    </row>
    <row r="9" spans="1:9" ht="14.45" customHeight="1" x14ac:dyDescent="0.2">
      <c r="A9" s="103"/>
      <c r="B9" s="104"/>
      <c r="C9" s="105"/>
      <c r="D9" s="106"/>
      <c r="F9" s="98"/>
      <c r="G9" s="98"/>
      <c r="H9" s="1"/>
      <c r="I9" s="99"/>
    </row>
    <row r="10" spans="1:9" x14ac:dyDescent="0.2">
      <c r="A10" s="103" t="s">
        <v>98</v>
      </c>
      <c r="B10" s="113" t="s">
        <v>104</v>
      </c>
      <c r="C10" s="114">
        <v>228000</v>
      </c>
      <c r="D10" s="115"/>
      <c r="E10" s="115"/>
      <c r="F10" s="98"/>
      <c r="G10" s="98"/>
      <c r="H10" s="1"/>
      <c r="I10" s="99"/>
    </row>
    <row r="11" spans="1:9" x14ac:dyDescent="0.2">
      <c r="A11" s="103" t="s">
        <v>98</v>
      </c>
      <c r="B11" s="113" t="s">
        <v>105</v>
      </c>
      <c r="C11" s="116">
        <f>C8/(173.33*C7)</f>
        <v>108.51170214811823</v>
      </c>
      <c r="D11" s="115"/>
      <c r="E11" s="115"/>
      <c r="F11" s="98"/>
      <c r="G11" s="98"/>
      <c r="H11" s="1"/>
      <c r="I11" s="99"/>
    </row>
    <row r="12" spans="1:9" x14ac:dyDescent="0.2">
      <c r="A12" s="103" t="s">
        <v>98</v>
      </c>
      <c r="B12" s="113" t="s">
        <v>106</v>
      </c>
      <c r="C12" s="117">
        <f>C5/C11</f>
        <v>0.99998076923076928</v>
      </c>
      <c r="D12" s="115"/>
      <c r="E12" s="115"/>
      <c r="F12" s="98"/>
      <c r="G12" s="98"/>
      <c r="H12" s="1"/>
      <c r="I12" s="99"/>
    </row>
    <row r="13" spans="1:9" x14ac:dyDescent="0.2">
      <c r="A13" s="103" t="s">
        <v>98</v>
      </c>
      <c r="B13" s="113" t="s">
        <v>107</v>
      </c>
      <c r="C13" s="117">
        <f>1-C12</f>
        <v>1.9230769230715872E-5</v>
      </c>
      <c r="D13" s="115"/>
      <c r="E13" s="115"/>
      <c r="F13" s="98"/>
      <c r="G13" s="98"/>
      <c r="H13" s="1"/>
      <c r="I13" s="99"/>
    </row>
    <row r="14" spans="1:9" x14ac:dyDescent="0.2">
      <c r="A14" s="103"/>
      <c r="B14" s="104"/>
      <c r="C14" s="118"/>
      <c r="D14" s="119" t="s">
        <v>108</v>
      </c>
      <c r="E14" s="119" t="s">
        <v>109</v>
      </c>
      <c r="F14" s="119" t="s">
        <v>110</v>
      </c>
      <c r="G14" s="119" t="s">
        <v>111</v>
      </c>
      <c r="H14" s="119" t="s">
        <v>112</v>
      </c>
      <c r="I14" s="99"/>
    </row>
    <row r="15" spans="1:9" x14ac:dyDescent="0.2">
      <c r="A15" s="100" t="s">
        <v>113</v>
      </c>
      <c r="B15" s="120" t="s">
        <v>114</v>
      </c>
      <c r="C15" s="121"/>
      <c r="D15" s="122">
        <v>0</v>
      </c>
      <c r="E15" s="122">
        <v>0</v>
      </c>
      <c r="F15" s="122">
        <v>0</v>
      </c>
      <c r="G15" s="122">
        <v>0</v>
      </c>
      <c r="H15" s="122">
        <v>0</v>
      </c>
      <c r="I15" s="99"/>
    </row>
    <row r="16" spans="1:9" x14ac:dyDescent="0.2">
      <c r="A16" s="103"/>
      <c r="B16" s="104"/>
      <c r="C16" s="118"/>
      <c r="D16" s="123"/>
      <c r="E16" s="124"/>
      <c r="F16" s="125"/>
      <c r="G16" s="125"/>
      <c r="H16" s="126"/>
      <c r="I16" s="99"/>
    </row>
    <row r="17" spans="1:9" x14ac:dyDescent="0.2">
      <c r="A17" s="103" t="s">
        <v>98</v>
      </c>
      <c r="B17" s="104" t="s">
        <v>115</v>
      </c>
      <c r="C17" s="124"/>
      <c r="D17" s="127">
        <f>$C$12*D15</f>
        <v>0</v>
      </c>
      <c r="E17" s="127">
        <f>$C$12*E15</f>
        <v>0</v>
      </c>
      <c r="F17" s="127">
        <f>$C$12*F15</f>
        <v>0</v>
      </c>
      <c r="G17" s="127">
        <f>$C$12*G15</f>
        <v>0</v>
      </c>
      <c r="H17" s="127">
        <f>$C$12*H15</f>
        <v>0</v>
      </c>
      <c r="I17" s="99"/>
    </row>
    <row r="18" spans="1:9" x14ac:dyDescent="0.2">
      <c r="A18" s="103" t="s">
        <v>98</v>
      </c>
      <c r="B18" s="104" t="s">
        <v>116</v>
      </c>
      <c r="C18" s="124"/>
      <c r="D18" s="127">
        <f>$C$13*D15</f>
        <v>0</v>
      </c>
      <c r="E18" s="127">
        <f>$C$13*E15</f>
        <v>0</v>
      </c>
      <c r="F18" s="127">
        <f>$C$13*F15</f>
        <v>0</v>
      </c>
      <c r="G18" s="127">
        <f>$C$13*G15</f>
        <v>0</v>
      </c>
      <c r="H18" s="127">
        <f>$C$13*H15</f>
        <v>0</v>
      </c>
      <c r="I18" s="99"/>
    </row>
    <row r="19" spans="1:9" x14ac:dyDescent="0.2">
      <c r="A19" s="103"/>
      <c r="B19" s="104"/>
      <c r="C19" s="118"/>
      <c r="D19" s="123"/>
      <c r="E19" s="124"/>
      <c r="F19" s="125"/>
      <c r="G19" s="125"/>
      <c r="H19" s="126"/>
      <c r="I19" s="99"/>
    </row>
    <row r="20" spans="1:9" x14ac:dyDescent="0.2">
      <c r="A20" s="103" t="s">
        <v>98</v>
      </c>
      <c r="B20" s="104" t="s">
        <v>117</v>
      </c>
      <c r="C20" s="124"/>
      <c r="D20" s="128">
        <f>D17*$C$10</f>
        <v>0</v>
      </c>
      <c r="E20" s="128">
        <f>E17*$C$10</f>
        <v>0</v>
      </c>
      <c r="F20" s="128">
        <f>F17*$C$10</f>
        <v>0</v>
      </c>
      <c r="G20" s="128">
        <f>G17*$C$10</f>
        <v>0</v>
      </c>
      <c r="H20" s="128">
        <f>H17*$C$10</f>
        <v>0</v>
      </c>
      <c r="I20" s="99"/>
    </row>
    <row r="21" spans="1:9" x14ac:dyDescent="0.2">
      <c r="A21" s="103"/>
      <c r="B21" s="104"/>
      <c r="C21" s="118"/>
      <c r="D21" s="123"/>
      <c r="E21" s="124"/>
      <c r="F21" s="125"/>
      <c r="G21" s="125"/>
      <c r="H21" s="126"/>
      <c r="I21" s="99"/>
    </row>
    <row r="22" spans="1:9" x14ac:dyDescent="0.2">
      <c r="A22" s="103" t="s">
        <v>98</v>
      </c>
      <c r="B22" s="104" t="s">
        <v>118</v>
      </c>
      <c r="C22" s="124"/>
      <c r="D22" s="128">
        <f>D18*$C$10</f>
        <v>0</v>
      </c>
      <c r="E22" s="128">
        <f>E18*$C$10</f>
        <v>0</v>
      </c>
      <c r="F22" s="128">
        <f>F18*$C$10</f>
        <v>0</v>
      </c>
      <c r="G22" s="128">
        <f>G18*$C$10</f>
        <v>0</v>
      </c>
      <c r="H22" s="128">
        <f>H18*$C$10</f>
        <v>0</v>
      </c>
      <c r="I22" s="99"/>
    </row>
    <row r="23" spans="1:9" x14ac:dyDescent="0.2">
      <c r="A23" s="95"/>
      <c r="C23" s="115"/>
      <c r="D23" s="115"/>
      <c r="E23" s="115"/>
      <c r="F23" s="115"/>
      <c r="G23" s="115"/>
      <c r="H23" s="115"/>
      <c r="I23" s="99"/>
    </row>
    <row r="24" spans="1:9" x14ac:dyDescent="0.2">
      <c r="A24" s="456" t="s">
        <v>132</v>
      </c>
      <c r="B24" s="457"/>
      <c r="C24" s="351" t="s">
        <v>243</v>
      </c>
      <c r="D24" s="134"/>
      <c r="E24" s="134"/>
      <c r="F24" s="134"/>
      <c r="G24" s="134"/>
      <c r="H24" s="134"/>
      <c r="I24" s="99"/>
    </row>
    <row r="25" spans="1:9" x14ac:dyDescent="0.2">
      <c r="A25" s="130"/>
      <c r="B25" s="129"/>
      <c r="C25" s="131"/>
      <c r="D25" s="131"/>
      <c r="E25" s="131"/>
      <c r="F25" s="131"/>
      <c r="G25" s="131"/>
      <c r="H25" s="131"/>
      <c r="I25" s="99"/>
    </row>
    <row r="26" spans="1:9" x14ac:dyDescent="0.2">
      <c r="A26" s="458" t="s">
        <v>275</v>
      </c>
      <c r="B26" s="459"/>
      <c r="C26" s="420" t="s">
        <v>274</v>
      </c>
      <c r="D26" s="375"/>
      <c r="E26" s="375"/>
      <c r="F26" s="375"/>
      <c r="G26" s="375"/>
      <c r="H26" s="375"/>
      <c r="I26" s="132"/>
    </row>
    <row r="28" spans="1:9" x14ac:dyDescent="0.2">
      <c r="C28" s="133"/>
    </row>
    <row r="29" spans="1:9" x14ac:dyDescent="0.2">
      <c r="B29" t="s">
        <v>28</v>
      </c>
    </row>
  </sheetData>
  <mergeCells count="3">
    <mergeCell ref="A1:I1"/>
    <mergeCell ref="A24:B24"/>
    <mergeCell ref="A26:B26"/>
  </mergeCells>
  <hyperlinks>
    <hyperlink ref="C24" r:id="rId1" xr:uid="{B1D083BD-201A-47F0-A03A-D1D988B0864E}"/>
    <hyperlink ref="C26" r:id="rId2" xr:uid="{E9011D3F-56E3-4CB5-B8A0-D3E3645FB21C}"/>
  </hyperlinks>
  <pageMargins left="0.7" right="0.7" top="0.75" bottom="0.75" header="0.3" footer="0.3"/>
  <pageSetup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A0A7EA-993A-4046-8B0B-BF3980813B56}">
  <sheetPr>
    <tabColor theme="9" tint="0.79998168889431442"/>
  </sheetPr>
  <dimension ref="A1:Q49"/>
  <sheetViews>
    <sheetView topLeftCell="B1" workbookViewId="0">
      <selection activeCell="I27" sqref="I27"/>
    </sheetView>
  </sheetViews>
  <sheetFormatPr defaultRowHeight="12.75" x14ac:dyDescent="0.2"/>
  <cols>
    <col min="1" max="1" width="12.85546875" hidden="1" customWidth="1"/>
    <col min="4" max="4" width="11" customWidth="1"/>
    <col min="5" max="8" width="12.7109375" customWidth="1"/>
    <col min="9" max="10" width="26.7109375" customWidth="1"/>
  </cols>
  <sheetData>
    <row r="1" spans="1:14" ht="25.5" x14ac:dyDescent="0.2">
      <c r="A1" s="154"/>
      <c r="B1" s="154"/>
      <c r="C1" s="154"/>
      <c r="D1" s="154"/>
      <c r="E1" s="278" t="s">
        <v>141</v>
      </c>
      <c r="F1" s="278" t="s">
        <v>142</v>
      </c>
      <c r="G1" s="278" t="s">
        <v>143</v>
      </c>
      <c r="H1" s="278" t="s">
        <v>144</v>
      </c>
      <c r="I1" s="278" t="s">
        <v>145</v>
      </c>
      <c r="J1" s="278" t="s">
        <v>146</v>
      </c>
    </row>
    <row r="2" spans="1:14" hidden="1" x14ac:dyDescent="0.2">
      <c r="A2" s="156" t="s">
        <v>148</v>
      </c>
      <c r="B2" s="154"/>
      <c r="C2" s="154"/>
      <c r="D2" s="154"/>
      <c r="E2" s="277"/>
      <c r="F2" s="277"/>
      <c r="G2" s="277"/>
      <c r="H2" s="277"/>
      <c r="I2" s="277"/>
      <c r="J2" s="277"/>
    </row>
    <row r="3" spans="1:14" hidden="1" x14ac:dyDescent="0.2">
      <c r="A3" s="157">
        <v>41664</v>
      </c>
      <c r="B3" s="154">
        <v>0</v>
      </c>
      <c r="C3" s="155">
        <v>30498</v>
      </c>
      <c r="D3" s="162">
        <v>30863</v>
      </c>
      <c r="E3" s="279">
        <v>45</v>
      </c>
      <c r="F3" s="279">
        <v>31.4</v>
      </c>
      <c r="G3" s="279">
        <v>55</v>
      </c>
      <c r="H3" s="279"/>
      <c r="I3" s="279">
        <v>32</v>
      </c>
      <c r="J3" s="279"/>
    </row>
    <row r="4" spans="1:14" hidden="1" x14ac:dyDescent="0.2">
      <c r="A4" s="155"/>
      <c r="B4" s="154">
        <v>0</v>
      </c>
      <c r="C4" s="155">
        <v>30864</v>
      </c>
      <c r="D4" s="162">
        <v>31228</v>
      </c>
      <c r="E4" s="279">
        <v>41</v>
      </c>
      <c r="F4" s="279">
        <v>25.7</v>
      </c>
      <c r="G4" s="279">
        <v>55</v>
      </c>
      <c r="H4" s="279"/>
      <c r="I4" s="279">
        <v>32</v>
      </c>
      <c r="J4" s="279"/>
    </row>
    <row r="5" spans="1:14" hidden="1" x14ac:dyDescent="0.2">
      <c r="A5" s="154"/>
      <c r="B5" s="154">
        <v>0</v>
      </c>
      <c r="C5" s="155">
        <v>31229</v>
      </c>
      <c r="D5" s="162">
        <v>31593</v>
      </c>
      <c r="E5" s="279">
        <v>41</v>
      </c>
      <c r="F5" s="279">
        <v>25</v>
      </c>
      <c r="G5" s="279">
        <v>55</v>
      </c>
      <c r="H5" s="279"/>
      <c r="I5" s="279">
        <v>32</v>
      </c>
      <c r="J5" s="279"/>
      <c r="M5" t="s">
        <v>28</v>
      </c>
    </row>
    <row r="6" spans="1:14" hidden="1" x14ac:dyDescent="0.2">
      <c r="A6" s="154"/>
      <c r="B6" s="154">
        <v>0</v>
      </c>
      <c r="C6" s="155">
        <v>31594</v>
      </c>
      <c r="D6" s="162">
        <v>31958</v>
      </c>
      <c r="E6" s="279">
        <v>41</v>
      </c>
      <c r="F6" s="279">
        <v>25</v>
      </c>
      <c r="G6" s="279">
        <v>55</v>
      </c>
      <c r="H6" s="279"/>
      <c r="I6" s="279">
        <v>32</v>
      </c>
      <c r="J6" s="279"/>
    </row>
    <row r="7" spans="1:14" hidden="1" x14ac:dyDescent="0.2">
      <c r="A7" s="154"/>
      <c r="B7" s="154">
        <v>0</v>
      </c>
      <c r="C7" s="155">
        <v>31959</v>
      </c>
      <c r="D7" s="162">
        <v>32324</v>
      </c>
      <c r="E7" s="279">
        <v>42</v>
      </c>
      <c r="F7" s="279">
        <v>26</v>
      </c>
      <c r="G7" s="279">
        <v>55</v>
      </c>
      <c r="H7" s="279"/>
      <c r="I7" s="279">
        <v>32.299999999999997</v>
      </c>
      <c r="J7" s="279"/>
    </row>
    <row r="8" spans="1:14" hidden="1" x14ac:dyDescent="0.2">
      <c r="A8" s="154"/>
      <c r="B8" s="154">
        <v>0</v>
      </c>
      <c r="C8" s="155">
        <v>32325</v>
      </c>
      <c r="D8" s="162">
        <v>32689</v>
      </c>
      <c r="E8" s="279">
        <v>42</v>
      </c>
      <c r="F8" s="279">
        <v>26</v>
      </c>
      <c r="G8" s="279">
        <v>55</v>
      </c>
      <c r="H8" s="279"/>
      <c r="I8" s="279">
        <v>32.299999999999997</v>
      </c>
      <c r="J8" s="279"/>
    </row>
    <row r="9" spans="1:14" hidden="1" x14ac:dyDescent="0.2">
      <c r="A9" s="154"/>
      <c r="B9" s="154">
        <v>0</v>
      </c>
      <c r="C9" s="155">
        <v>32690</v>
      </c>
      <c r="D9" s="162">
        <v>33054</v>
      </c>
      <c r="E9" s="279">
        <v>42.3</v>
      </c>
      <c r="F9" s="279">
        <v>26</v>
      </c>
      <c r="G9" s="279">
        <v>55</v>
      </c>
      <c r="H9" s="279"/>
      <c r="I9" s="279">
        <v>32.5</v>
      </c>
      <c r="J9" s="279"/>
    </row>
    <row r="10" spans="1:14" hidden="1" x14ac:dyDescent="0.2">
      <c r="A10" s="154"/>
      <c r="B10" s="154">
        <v>0</v>
      </c>
      <c r="C10" s="155">
        <v>33055</v>
      </c>
      <c r="D10" s="162">
        <v>33419</v>
      </c>
      <c r="E10" s="279">
        <v>42.5</v>
      </c>
      <c r="F10" s="279">
        <v>26</v>
      </c>
      <c r="G10" s="279">
        <v>55</v>
      </c>
      <c r="H10" s="279"/>
      <c r="I10" s="279">
        <v>32.5</v>
      </c>
      <c r="J10" s="279"/>
      <c r="N10" t="s">
        <v>28</v>
      </c>
    </row>
    <row r="11" spans="1:14" hidden="1" x14ac:dyDescent="0.2">
      <c r="A11" s="154"/>
      <c r="B11" s="154">
        <v>0</v>
      </c>
      <c r="C11" s="155">
        <v>33420</v>
      </c>
      <c r="D11" s="162">
        <v>33785</v>
      </c>
      <c r="E11" s="279">
        <v>48</v>
      </c>
      <c r="F11" s="279">
        <v>26</v>
      </c>
      <c r="G11" s="279">
        <v>55</v>
      </c>
      <c r="H11" s="279"/>
      <c r="I11" s="279">
        <v>32.5</v>
      </c>
      <c r="J11" s="279"/>
    </row>
    <row r="12" spans="1:14" hidden="1" x14ac:dyDescent="0.2">
      <c r="A12" s="154"/>
      <c r="B12" s="154">
        <v>0</v>
      </c>
      <c r="C12" s="155">
        <v>33786</v>
      </c>
      <c r="D12" s="162">
        <v>34880</v>
      </c>
      <c r="E12" s="279">
        <v>50</v>
      </c>
      <c r="F12" s="279">
        <v>26</v>
      </c>
      <c r="G12" s="279">
        <v>55</v>
      </c>
      <c r="H12" s="279"/>
      <c r="I12" s="279">
        <v>33</v>
      </c>
      <c r="J12" s="279"/>
    </row>
    <row r="13" spans="1:14" hidden="1" x14ac:dyDescent="0.2">
      <c r="A13" s="154"/>
      <c r="B13" s="154">
        <v>0</v>
      </c>
      <c r="C13" s="155">
        <v>34881</v>
      </c>
      <c r="D13" s="162">
        <v>37072</v>
      </c>
      <c r="E13" s="279">
        <v>50</v>
      </c>
      <c r="F13" s="279">
        <v>26</v>
      </c>
      <c r="G13" s="279">
        <v>55</v>
      </c>
      <c r="H13" s="279"/>
      <c r="I13" s="279">
        <v>33</v>
      </c>
      <c r="J13" s="279"/>
    </row>
    <row r="14" spans="1:14" hidden="1" x14ac:dyDescent="0.2">
      <c r="A14" s="154"/>
      <c r="B14" s="154">
        <v>0</v>
      </c>
      <c r="C14" s="155">
        <v>37073</v>
      </c>
      <c r="D14" s="162">
        <v>37437</v>
      </c>
      <c r="E14" s="279">
        <v>49</v>
      </c>
      <c r="F14" s="279">
        <v>26</v>
      </c>
      <c r="G14" s="279">
        <v>54</v>
      </c>
      <c r="H14" s="279"/>
      <c r="I14" s="279">
        <v>32</v>
      </c>
      <c r="J14" s="279"/>
    </row>
    <row r="15" spans="1:14" hidden="1" x14ac:dyDescent="0.2">
      <c r="A15" s="154"/>
      <c r="B15" s="154">
        <v>0</v>
      </c>
      <c r="C15" s="155">
        <v>37438</v>
      </c>
      <c r="D15" s="162">
        <v>38168</v>
      </c>
      <c r="E15" s="279">
        <v>49</v>
      </c>
      <c r="F15" s="279">
        <v>26</v>
      </c>
      <c r="G15" s="279">
        <v>54</v>
      </c>
      <c r="H15" s="279"/>
      <c r="I15" s="279">
        <v>32</v>
      </c>
      <c r="J15" s="279"/>
    </row>
    <row r="16" spans="1:14" hidden="1" x14ac:dyDescent="0.2">
      <c r="A16" s="154"/>
      <c r="B16" s="154">
        <v>0</v>
      </c>
      <c r="C16" s="155">
        <v>38169</v>
      </c>
      <c r="D16" s="162">
        <v>38533</v>
      </c>
      <c r="E16" s="279">
        <v>49</v>
      </c>
      <c r="F16" s="279">
        <v>26</v>
      </c>
      <c r="G16" s="279"/>
      <c r="H16" s="279"/>
      <c r="I16" s="279"/>
      <c r="J16" s="279"/>
    </row>
    <row r="17" spans="2:17" hidden="1" x14ac:dyDescent="0.2">
      <c r="B17" s="154">
        <v>0</v>
      </c>
      <c r="C17" s="155">
        <v>38534</v>
      </c>
      <c r="D17" s="162">
        <v>38898</v>
      </c>
      <c r="E17" s="279">
        <v>48.5</v>
      </c>
      <c r="F17" s="279">
        <v>26</v>
      </c>
      <c r="G17" s="279">
        <v>54</v>
      </c>
      <c r="H17" s="279"/>
      <c r="I17" s="279">
        <v>32</v>
      </c>
      <c r="J17" s="279"/>
    </row>
    <row r="18" spans="2:17" hidden="1" x14ac:dyDescent="0.2">
      <c r="B18" s="154">
        <v>0</v>
      </c>
      <c r="C18" s="155">
        <v>38899</v>
      </c>
      <c r="D18" s="162">
        <v>39263</v>
      </c>
      <c r="E18" s="279">
        <v>48</v>
      </c>
      <c r="F18" s="279">
        <v>26</v>
      </c>
      <c r="G18" s="279">
        <v>54</v>
      </c>
      <c r="H18" s="279"/>
      <c r="I18" s="279">
        <v>32</v>
      </c>
      <c r="J18" s="279"/>
    </row>
    <row r="19" spans="2:17" hidden="1" x14ac:dyDescent="0.2">
      <c r="B19" s="154">
        <v>0</v>
      </c>
      <c r="C19" s="155">
        <v>39264</v>
      </c>
      <c r="D19" s="162">
        <v>39629</v>
      </c>
      <c r="E19" s="279">
        <v>48</v>
      </c>
      <c r="F19" s="279">
        <v>26</v>
      </c>
      <c r="G19" s="279">
        <v>54</v>
      </c>
      <c r="H19" s="279">
        <v>23.8</v>
      </c>
      <c r="I19" s="279">
        <v>32</v>
      </c>
      <c r="J19" s="279">
        <v>25.6</v>
      </c>
    </row>
    <row r="20" spans="2:17" hidden="1" x14ac:dyDescent="0.2">
      <c r="B20" s="154">
        <v>0</v>
      </c>
      <c r="C20" s="155">
        <v>39630</v>
      </c>
      <c r="D20" s="162">
        <v>40724</v>
      </c>
      <c r="E20" s="279">
        <v>42</v>
      </c>
      <c r="F20" s="279">
        <v>26</v>
      </c>
      <c r="G20" s="279">
        <v>53</v>
      </c>
      <c r="H20" s="279">
        <v>26</v>
      </c>
      <c r="I20" s="279">
        <v>29</v>
      </c>
      <c r="J20" s="279">
        <v>23.8</v>
      </c>
    </row>
    <row r="21" spans="2:17" hidden="1" x14ac:dyDescent="0.2">
      <c r="B21" s="154">
        <v>0</v>
      </c>
      <c r="C21" s="155">
        <v>40725</v>
      </c>
      <c r="D21" s="162">
        <v>41090</v>
      </c>
      <c r="E21" s="279">
        <v>42</v>
      </c>
      <c r="F21" s="279">
        <v>26</v>
      </c>
      <c r="G21" s="279">
        <v>53</v>
      </c>
      <c r="H21" s="279">
        <v>26</v>
      </c>
      <c r="I21" s="279">
        <v>29</v>
      </c>
      <c r="J21" s="279">
        <v>23.8</v>
      </c>
    </row>
    <row r="22" spans="2:17" hidden="1" x14ac:dyDescent="0.2">
      <c r="B22" s="154">
        <v>0</v>
      </c>
      <c r="C22" s="155">
        <v>41091</v>
      </c>
      <c r="D22" s="162">
        <v>41820</v>
      </c>
      <c r="E22" s="279">
        <v>45</v>
      </c>
      <c r="F22" s="279">
        <v>26</v>
      </c>
      <c r="G22" s="279">
        <v>59.4</v>
      </c>
      <c r="H22" s="279">
        <v>26</v>
      </c>
      <c r="I22" s="279">
        <v>30.7</v>
      </c>
      <c r="J22" s="279">
        <v>24.3</v>
      </c>
      <c r="O22" t="s">
        <v>28</v>
      </c>
    </row>
    <row r="23" spans="2:17" hidden="1" x14ac:dyDescent="0.2">
      <c r="B23" s="154">
        <v>0</v>
      </c>
      <c r="C23" s="155">
        <v>41821</v>
      </c>
      <c r="D23" s="162">
        <v>42185</v>
      </c>
      <c r="E23" s="279">
        <v>45</v>
      </c>
      <c r="F23" s="279">
        <v>26</v>
      </c>
      <c r="G23" s="279">
        <v>59.4</v>
      </c>
      <c r="H23" s="279">
        <v>26</v>
      </c>
      <c r="I23" s="279">
        <v>30.7</v>
      </c>
      <c r="J23" s="279">
        <v>24.3</v>
      </c>
      <c r="O23" t="s">
        <v>28</v>
      </c>
    </row>
    <row r="24" spans="2:17" hidden="1" x14ac:dyDescent="0.2">
      <c r="B24" s="154">
        <v>0</v>
      </c>
      <c r="C24" s="155">
        <v>42186</v>
      </c>
      <c r="D24" s="162">
        <v>42551</v>
      </c>
      <c r="E24" s="279">
        <v>45</v>
      </c>
      <c r="F24" s="279">
        <v>26</v>
      </c>
      <c r="G24" s="279">
        <v>59.4</v>
      </c>
      <c r="H24" s="279">
        <v>26</v>
      </c>
      <c r="I24" s="279">
        <v>30.7</v>
      </c>
      <c r="J24" s="279">
        <v>24.3</v>
      </c>
    </row>
    <row r="25" spans="2:17" x14ac:dyDescent="0.2">
      <c r="B25" s="154">
        <v>0</v>
      </c>
      <c r="C25" s="155">
        <v>43282</v>
      </c>
      <c r="D25" s="162">
        <v>43646</v>
      </c>
      <c r="E25" s="279">
        <v>47.5</v>
      </c>
      <c r="F25" s="279">
        <v>26</v>
      </c>
      <c r="G25" s="279">
        <v>46</v>
      </c>
      <c r="H25" s="279">
        <v>26</v>
      </c>
      <c r="I25" s="279">
        <v>30.7</v>
      </c>
      <c r="J25" s="279">
        <v>26</v>
      </c>
    </row>
    <row r="26" spans="2:17" x14ac:dyDescent="0.2">
      <c r="B26" s="154">
        <v>0</v>
      </c>
      <c r="C26" s="155">
        <v>43647</v>
      </c>
      <c r="D26" s="162">
        <v>44377</v>
      </c>
      <c r="E26" s="279">
        <v>47.5</v>
      </c>
      <c r="F26" s="279">
        <v>26</v>
      </c>
      <c r="G26" s="279">
        <v>46</v>
      </c>
      <c r="H26" s="279">
        <v>26</v>
      </c>
      <c r="I26" s="279">
        <v>30.7</v>
      </c>
      <c r="J26" s="279">
        <v>26</v>
      </c>
    </row>
    <row r="27" spans="2:17" x14ac:dyDescent="0.2">
      <c r="B27" s="154">
        <v>0</v>
      </c>
      <c r="C27" s="155">
        <v>44378</v>
      </c>
      <c r="D27" s="162">
        <v>45107</v>
      </c>
      <c r="E27" s="279">
        <v>47.5</v>
      </c>
      <c r="F27" s="279">
        <v>26</v>
      </c>
      <c r="G27" s="279">
        <v>46</v>
      </c>
      <c r="H27" s="279">
        <v>26</v>
      </c>
      <c r="I27" s="279">
        <v>30.7</v>
      </c>
      <c r="J27" s="279">
        <v>26</v>
      </c>
      <c r="Q27" t="s">
        <v>28</v>
      </c>
    </row>
    <row r="28" spans="2:17" x14ac:dyDescent="0.2">
      <c r="B28" s="154">
        <v>0</v>
      </c>
      <c r="C28" s="155">
        <v>45108</v>
      </c>
      <c r="D28" s="162">
        <v>46568</v>
      </c>
      <c r="E28" s="279">
        <v>49</v>
      </c>
      <c r="F28" s="279">
        <v>26</v>
      </c>
      <c r="G28" s="279">
        <v>48</v>
      </c>
      <c r="H28" s="279">
        <v>26</v>
      </c>
      <c r="I28" s="279">
        <v>33</v>
      </c>
      <c r="J28" s="279">
        <v>26</v>
      </c>
    </row>
    <row r="29" spans="2:17" x14ac:dyDescent="0.2">
      <c r="C29" s="155"/>
      <c r="D29" s="155"/>
    </row>
    <row r="31" spans="2:17" x14ac:dyDescent="0.2">
      <c r="B31" s="154"/>
      <c r="C31" s="158"/>
      <c r="D31" s="159"/>
      <c r="E31" s="154"/>
      <c r="F31" s="154"/>
      <c r="G31" s="154"/>
      <c r="H31" s="154"/>
      <c r="I31" s="154"/>
      <c r="J31" s="154"/>
    </row>
    <row r="32" spans="2:17" x14ac:dyDescent="0.2">
      <c r="B32" s="154"/>
      <c r="C32" s="158"/>
      <c r="E32" s="154"/>
      <c r="F32" s="154"/>
      <c r="G32" s="154"/>
      <c r="H32" s="154"/>
      <c r="I32" s="154"/>
      <c r="J32" s="154"/>
    </row>
    <row r="33" spans="2:10" x14ac:dyDescent="0.2">
      <c r="B33" s="154"/>
      <c r="C33" s="154"/>
      <c r="D33" s="160"/>
      <c r="E33" s="154"/>
      <c r="F33" s="154"/>
      <c r="G33" s="154"/>
      <c r="H33" s="154"/>
      <c r="I33" s="154"/>
      <c r="J33" s="154"/>
    </row>
    <row r="34" spans="2:10" x14ac:dyDescent="0.2">
      <c r="B34" s="154"/>
      <c r="C34" s="154"/>
      <c r="D34" s="161"/>
      <c r="E34" s="154"/>
      <c r="F34" s="154"/>
      <c r="G34" s="154"/>
      <c r="H34" s="154"/>
      <c r="I34" s="154"/>
      <c r="J34" s="154"/>
    </row>
    <row r="35" spans="2:10" x14ac:dyDescent="0.2">
      <c r="B35" s="154"/>
      <c r="C35" s="154"/>
      <c r="D35" s="160"/>
      <c r="E35" s="154"/>
      <c r="F35" s="154"/>
      <c r="G35" s="154"/>
      <c r="H35" s="154"/>
      <c r="I35" s="154"/>
      <c r="J35" s="154"/>
    </row>
    <row r="49" spans="15:15" x14ac:dyDescent="0.2">
      <c r="O49" t="s">
        <v>28</v>
      </c>
    </row>
  </sheetData>
  <sheetProtection password="CCF6" sheet="1"/>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F4DF5-FD35-41FA-81B4-F997264EC16E}">
  <sheetPr>
    <tabColor rgb="FF7030A0"/>
  </sheetPr>
  <dimension ref="A1:M152"/>
  <sheetViews>
    <sheetView zoomScale="90" zoomScaleNormal="90" workbookViewId="0">
      <selection activeCell="I30" sqref="I30"/>
    </sheetView>
  </sheetViews>
  <sheetFormatPr defaultRowHeight="12.75" x14ac:dyDescent="0.2"/>
  <cols>
    <col min="1" max="1" width="39.7109375" customWidth="1"/>
    <col min="2" max="7" width="11.7109375" customWidth="1"/>
    <col min="8" max="8" width="11.7109375" hidden="1" customWidth="1"/>
    <col min="9" max="9" width="66.5703125" customWidth="1"/>
    <col min="10" max="12" width="9.140625" customWidth="1"/>
  </cols>
  <sheetData>
    <row r="1" spans="1:13" ht="15" x14ac:dyDescent="0.25">
      <c r="A1" s="462" t="s">
        <v>214</v>
      </c>
      <c r="B1" s="329" t="s">
        <v>215</v>
      </c>
      <c r="D1" s="329"/>
      <c r="E1" s="329"/>
      <c r="F1" s="329"/>
      <c r="G1" s="404"/>
      <c r="I1" s="323"/>
    </row>
    <row r="2" spans="1:13" ht="15.75" thickBot="1" x14ac:dyDescent="0.3">
      <c r="A2" s="462"/>
      <c r="B2" s="329" t="s">
        <v>260</v>
      </c>
      <c r="D2" s="329"/>
      <c r="E2" s="329"/>
      <c r="F2" s="329"/>
      <c r="G2" s="404"/>
      <c r="I2" s="323"/>
    </row>
    <row r="3" spans="1:13" ht="15.75" thickBot="1" x14ac:dyDescent="0.3">
      <c r="A3" s="412">
        <f>'SPS Internal Use Generic 5 yr'!Q4</f>
        <v>46279</v>
      </c>
      <c r="B3" s="463" t="s">
        <v>261</v>
      </c>
      <c r="C3" s="464"/>
      <c r="D3" s="465" t="s">
        <v>262</v>
      </c>
      <c r="E3" s="465"/>
      <c r="F3" s="464"/>
      <c r="G3" s="413" t="s">
        <v>265</v>
      </c>
    </row>
    <row r="4" spans="1:13" ht="15.75" x14ac:dyDescent="0.2">
      <c r="A4" s="460" t="s">
        <v>161</v>
      </c>
      <c r="B4" s="414">
        <v>2026</v>
      </c>
      <c r="C4" s="414">
        <v>2027</v>
      </c>
      <c r="D4" s="415">
        <v>2028</v>
      </c>
      <c r="E4" s="416">
        <v>2029</v>
      </c>
      <c r="F4" s="416">
        <v>2030</v>
      </c>
      <c r="G4" s="422">
        <v>2031</v>
      </c>
      <c r="H4" s="406">
        <v>2032</v>
      </c>
      <c r="I4" s="460" t="s">
        <v>162</v>
      </c>
    </row>
    <row r="5" spans="1:13" ht="16.5" thickBot="1" x14ac:dyDescent="0.25">
      <c r="A5" s="461"/>
      <c r="B5" s="353" t="s">
        <v>167</v>
      </c>
      <c r="C5" s="353" t="s">
        <v>167</v>
      </c>
      <c r="D5" s="354" t="s">
        <v>167</v>
      </c>
      <c r="E5" s="355" t="s">
        <v>167</v>
      </c>
      <c r="F5" s="355" t="s">
        <v>167</v>
      </c>
      <c r="G5" s="423" t="s">
        <v>167</v>
      </c>
      <c r="H5" s="407" t="s">
        <v>167</v>
      </c>
      <c r="I5" s="461"/>
      <c r="J5" s="331"/>
    </row>
    <row r="6" spans="1:13" ht="60.75" thickBot="1" x14ac:dyDescent="0.25">
      <c r="A6" s="390" t="s">
        <v>168</v>
      </c>
      <c r="B6" s="436">
        <v>0.76500000000000001</v>
      </c>
      <c r="C6" s="437">
        <v>0.77400000000000002</v>
      </c>
      <c r="D6" s="437">
        <v>0.78400000000000003</v>
      </c>
      <c r="E6" s="437">
        <v>0.77300000000000002</v>
      </c>
      <c r="F6" s="437">
        <v>0.77800000000000002</v>
      </c>
      <c r="G6" s="425">
        <f>AVERAGE(B6:F6)</f>
        <v>0.77480000000000016</v>
      </c>
      <c r="H6" s="408">
        <f>AVERAGE(C6:G6)</f>
        <v>0.77676000000000001</v>
      </c>
      <c r="I6" s="391" t="s">
        <v>201</v>
      </c>
      <c r="J6" s="331"/>
    </row>
    <row r="7" spans="1:13" ht="45.75" thickBot="1" x14ac:dyDescent="0.25">
      <c r="A7" s="294" t="s">
        <v>169</v>
      </c>
      <c r="B7" s="426">
        <v>0.52900000000000003</v>
      </c>
      <c r="C7" s="427">
        <v>0.51100000000000001</v>
      </c>
      <c r="D7" s="427">
        <v>0.504</v>
      </c>
      <c r="E7" s="427">
        <v>0.501</v>
      </c>
      <c r="F7" s="427">
        <v>0.502</v>
      </c>
      <c r="G7" s="425">
        <f t="shared" ref="G7:G13" si="0">AVERAGE(B7:F7)</f>
        <v>0.50939999999999996</v>
      </c>
      <c r="H7" s="408">
        <f t="shared" ref="H7:H13" si="1">AVERAGE(C7:G7)</f>
        <v>0.50547999999999993</v>
      </c>
      <c r="I7" s="332" t="s">
        <v>202</v>
      </c>
      <c r="J7" s="331"/>
    </row>
    <row r="8" spans="1:13" ht="45.75" thickBot="1" x14ac:dyDescent="0.25">
      <c r="A8" s="390" t="s">
        <v>170</v>
      </c>
      <c r="B8" s="424">
        <v>0.34200000000000003</v>
      </c>
      <c r="C8" s="425">
        <v>0.34</v>
      </c>
      <c r="D8" s="425">
        <v>0.317</v>
      </c>
      <c r="E8" s="425">
        <v>0.32900000000000001</v>
      </c>
      <c r="F8" s="425">
        <v>0.32900000000000001</v>
      </c>
      <c r="G8" s="425">
        <f t="shared" si="0"/>
        <v>0.33140000000000003</v>
      </c>
      <c r="H8" s="408">
        <f>AVERAGE(C8:G8)</f>
        <v>0.32927999999999996</v>
      </c>
      <c r="I8" s="391" t="s">
        <v>212</v>
      </c>
      <c r="J8" s="331"/>
    </row>
    <row r="9" spans="1:13" ht="45.75" thickBot="1" x14ac:dyDescent="0.25">
      <c r="A9" s="294" t="s">
        <v>171</v>
      </c>
      <c r="B9" s="426">
        <v>1.0489999999999999</v>
      </c>
      <c r="C9" s="427">
        <v>1.0740000000000001</v>
      </c>
      <c r="D9" s="427">
        <v>1.0940000000000001</v>
      </c>
      <c r="E9" s="427">
        <v>1.0489999999999999</v>
      </c>
      <c r="F9" s="427">
        <v>1.0640000000000001</v>
      </c>
      <c r="G9" s="425">
        <f t="shared" si="0"/>
        <v>1.0660000000000001</v>
      </c>
      <c r="H9" s="408">
        <f t="shared" si="1"/>
        <v>1.0694000000000001</v>
      </c>
      <c r="I9" s="332" t="s">
        <v>203</v>
      </c>
      <c r="J9" s="331"/>
    </row>
    <row r="10" spans="1:13" ht="30.75" thickBot="1" x14ac:dyDescent="0.25">
      <c r="A10" s="390" t="s">
        <v>172</v>
      </c>
      <c r="B10" s="424">
        <v>0.82299999999999995</v>
      </c>
      <c r="C10" s="425">
        <v>0.91</v>
      </c>
      <c r="D10" s="425">
        <v>0.90100000000000002</v>
      </c>
      <c r="E10" s="425">
        <v>0.89100000000000001</v>
      </c>
      <c r="F10" s="425">
        <v>0.89800000000000002</v>
      </c>
      <c r="G10" s="425">
        <f t="shared" si="0"/>
        <v>0.88460000000000005</v>
      </c>
      <c r="H10" s="408">
        <f t="shared" si="1"/>
        <v>0.89692000000000005</v>
      </c>
      <c r="I10" s="391" t="s">
        <v>204</v>
      </c>
      <c r="J10" s="331"/>
    </row>
    <row r="11" spans="1:13" ht="30.75" thickBot="1" x14ac:dyDescent="0.25">
      <c r="A11" s="294" t="s">
        <v>173</v>
      </c>
      <c r="B11" s="426">
        <v>0.79600000000000004</v>
      </c>
      <c r="C11" s="427">
        <v>0.80200000000000005</v>
      </c>
      <c r="D11" s="427">
        <v>0.81399999999999995</v>
      </c>
      <c r="E11" s="427">
        <v>0.79300000000000004</v>
      </c>
      <c r="F11" s="427">
        <v>0.79800000000000004</v>
      </c>
      <c r="G11" s="425">
        <f t="shared" si="0"/>
        <v>0.80059999999999998</v>
      </c>
      <c r="H11" s="408">
        <f t="shared" si="1"/>
        <v>0.80152000000000001</v>
      </c>
      <c r="I11" s="332" t="s">
        <v>205</v>
      </c>
      <c r="J11" s="331"/>
    </row>
    <row r="12" spans="1:13" ht="45.75" thickBot="1" x14ac:dyDescent="0.25">
      <c r="A12" s="390" t="s">
        <v>211</v>
      </c>
      <c r="B12" s="424">
        <v>0.26100000000000001</v>
      </c>
      <c r="C12" s="425">
        <v>0.32300000000000001</v>
      </c>
      <c r="D12" s="425">
        <v>0.218</v>
      </c>
      <c r="E12" s="425">
        <v>0.31</v>
      </c>
      <c r="F12" s="425">
        <v>0.313</v>
      </c>
      <c r="G12" s="425">
        <f t="shared" si="0"/>
        <v>0.28500000000000003</v>
      </c>
      <c r="H12" s="408">
        <f t="shared" si="1"/>
        <v>0.28979999999999995</v>
      </c>
      <c r="I12" s="391" t="s">
        <v>213</v>
      </c>
      <c r="J12" s="331"/>
    </row>
    <row r="13" spans="1:13" ht="30.75" thickBot="1" x14ac:dyDescent="0.25">
      <c r="A13" s="294" t="s">
        <v>209</v>
      </c>
      <c r="B13" s="428">
        <v>3.7999999999999999E-2</v>
      </c>
      <c r="C13" s="429">
        <v>3.3000000000000002E-2</v>
      </c>
      <c r="D13" s="429">
        <v>3.6999999999999998E-2</v>
      </c>
      <c r="E13" s="429">
        <v>3.4000000000000002E-2</v>
      </c>
      <c r="F13" s="429">
        <v>3.4000000000000002E-2</v>
      </c>
      <c r="G13" s="425">
        <f t="shared" si="0"/>
        <v>3.5200000000000002E-2</v>
      </c>
      <c r="H13" s="408">
        <f t="shared" si="1"/>
        <v>3.4640000000000004E-2</v>
      </c>
      <c r="I13" s="332" t="s">
        <v>206</v>
      </c>
      <c r="J13" s="331"/>
    </row>
    <row r="14" spans="1:13" x14ac:dyDescent="0.2">
      <c r="A14" s="331"/>
      <c r="B14" s="331"/>
      <c r="C14" s="331"/>
      <c r="D14" s="331"/>
      <c r="E14" s="331"/>
      <c r="F14" s="333"/>
      <c r="G14" s="281"/>
      <c r="H14" s="281"/>
      <c r="I14" s="281"/>
      <c r="M14" s="331"/>
    </row>
    <row r="15" spans="1:13" ht="16.5" hidden="1" thickBot="1" x14ac:dyDescent="0.3">
      <c r="A15" s="324" t="s">
        <v>174</v>
      </c>
      <c r="B15" s="324" t="s">
        <v>264</v>
      </c>
      <c r="C15" s="324" t="s">
        <v>167</v>
      </c>
      <c r="D15" s="324" t="s">
        <v>167</v>
      </c>
      <c r="E15" s="334" t="s">
        <v>167</v>
      </c>
      <c r="F15" s="335" t="s">
        <v>167</v>
      </c>
      <c r="G15" s="409" t="s">
        <v>167</v>
      </c>
      <c r="H15" s="409" t="s">
        <v>167</v>
      </c>
      <c r="I15" s="403" t="s">
        <v>263</v>
      </c>
      <c r="L15" s="330"/>
    </row>
    <row r="16" spans="1:13" ht="15.75" hidden="1" thickBot="1" x14ac:dyDescent="0.3">
      <c r="A16" s="295" t="s">
        <v>168</v>
      </c>
      <c r="B16" s="325"/>
      <c r="C16" s="325">
        <f t="shared" ref="C16:H23" si="2">+C6/B6-1</f>
        <v>1.1764705882352899E-2</v>
      </c>
      <c r="D16" s="325">
        <f t="shared" si="2"/>
        <v>1.2919896640826822E-2</v>
      </c>
      <c r="E16" s="336">
        <f t="shared" si="2"/>
        <v>-1.4030612244897989E-2</v>
      </c>
      <c r="F16" s="337">
        <f t="shared" si="2"/>
        <v>6.4683053040104355E-3</v>
      </c>
      <c r="G16" s="410">
        <f t="shared" si="2"/>
        <v>-4.1131105398456436E-3</v>
      </c>
      <c r="H16" s="410">
        <f t="shared" si="2"/>
        <v>2.529685080020494E-3</v>
      </c>
      <c r="I16" s="405">
        <f>AVERAGE(C16:H16)</f>
        <v>2.5898116870778365E-3</v>
      </c>
      <c r="L16" s="330"/>
    </row>
    <row r="17" spans="1:13" ht="15.75" hidden="1" thickBot="1" x14ac:dyDescent="0.3">
      <c r="A17" s="295" t="s">
        <v>169</v>
      </c>
      <c r="B17" s="325"/>
      <c r="C17" s="325">
        <f t="shared" si="2"/>
        <v>-3.4026465028355379E-2</v>
      </c>
      <c r="D17" s="325">
        <f t="shared" si="2"/>
        <v>-1.3698630136986356E-2</v>
      </c>
      <c r="E17" s="336">
        <f t="shared" si="2"/>
        <v>-5.9523809523809312E-3</v>
      </c>
      <c r="F17" s="337">
        <f t="shared" si="2"/>
        <v>1.9960079840319889E-3</v>
      </c>
      <c r="G17" s="410">
        <f t="shared" si="2"/>
        <v>1.4741035856573603E-2</v>
      </c>
      <c r="H17" s="410">
        <f t="shared" si="2"/>
        <v>-7.6953278366707067E-3</v>
      </c>
      <c r="I17" s="405">
        <f t="shared" ref="I17:I23" si="3">AVERAGE(C17:H17)</f>
        <v>-7.4392933522979638E-3</v>
      </c>
      <c r="L17" s="330"/>
    </row>
    <row r="18" spans="1:13" ht="15.75" hidden="1" thickBot="1" x14ac:dyDescent="0.3">
      <c r="A18" s="295" t="s">
        <v>170</v>
      </c>
      <c r="B18" s="325"/>
      <c r="C18" s="325">
        <f t="shared" si="2"/>
        <v>-5.8479532163743242E-3</v>
      </c>
      <c r="D18" s="325">
        <f t="shared" si="2"/>
        <v>-6.7647058823529505E-2</v>
      </c>
      <c r="E18" s="336">
        <f t="shared" si="2"/>
        <v>3.7854889589905349E-2</v>
      </c>
      <c r="F18" s="337">
        <f t="shared" si="2"/>
        <v>0</v>
      </c>
      <c r="G18" s="410">
        <f t="shared" si="2"/>
        <v>7.2948328267476992E-3</v>
      </c>
      <c r="H18" s="410">
        <f t="shared" si="2"/>
        <v>-6.3971031985518012E-3</v>
      </c>
      <c r="I18" s="405">
        <f t="shared" si="3"/>
        <v>-5.7903988036337633E-3</v>
      </c>
      <c r="L18" s="330"/>
    </row>
    <row r="19" spans="1:13" ht="15.75" hidden="1" thickBot="1" x14ac:dyDescent="0.3">
      <c r="A19" s="295" t="s">
        <v>171</v>
      </c>
      <c r="B19" s="325"/>
      <c r="C19" s="325">
        <f t="shared" si="2"/>
        <v>2.3832221163012424E-2</v>
      </c>
      <c r="D19" s="325">
        <f t="shared" si="2"/>
        <v>1.862197392923659E-2</v>
      </c>
      <c r="E19" s="336">
        <f t="shared" si="2"/>
        <v>-4.1133455210237813E-2</v>
      </c>
      <c r="F19" s="337">
        <f t="shared" si="2"/>
        <v>1.4299332697807587E-2</v>
      </c>
      <c r="G19" s="410">
        <f t="shared" si="2"/>
        <v>1.879699248120259E-3</v>
      </c>
      <c r="H19" s="410">
        <f t="shared" si="2"/>
        <v>3.189493433396029E-3</v>
      </c>
      <c r="I19" s="405">
        <f t="shared" si="3"/>
        <v>3.4482108768891795E-3</v>
      </c>
      <c r="L19" s="330"/>
    </row>
    <row r="20" spans="1:13" ht="15.75" hidden="1" thickBot="1" x14ac:dyDescent="0.3">
      <c r="A20" s="295" t="s">
        <v>172</v>
      </c>
      <c r="B20" s="325"/>
      <c r="C20" s="325">
        <f t="shared" si="2"/>
        <v>0.10571081409477534</v>
      </c>
      <c r="D20" s="325">
        <f t="shared" si="2"/>
        <v>-9.890109890109855E-3</v>
      </c>
      <c r="E20" s="336">
        <f t="shared" si="2"/>
        <v>-1.1098779134295245E-2</v>
      </c>
      <c r="F20" s="337">
        <f t="shared" si="2"/>
        <v>7.8563411896745983E-3</v>
      </c>
      <c r="G20" s="410">
        <f t="shared" si="2"/>
        <v>-1.492204899777283E-2</v>
      </c>
      <c r="H20" s="410">
        <f t="shared" si="2"/>
        <v>1.3927198733890922E-2</v>
      </c>
      <c r="I20" s="405">
        <f t="shared" si="3"/>
        <v>1.5263902666027155E-2</v>
      </c>
      <c r="L20" s="330"/>
    </row>
    <row r="21" spans="1:13" ht="15.75" hidden="1" customHeight="1" thickBot="1" x14ac:dyDescent="0.3">
      <c r="A21" s="295" t="s">
        <v>173</v>
      </c>
      <c r="B21" s="325"/>
      <c r="C21" s="325">
        <f t="shared" si="2"/>
        <v>7.5376884422111434E-3</v>
      </c>
      <c r="D21" s="325">
        <f t="shared" si="2"/>
        <v>1.4962593516209433E-2</v>
      </c>
      <c r="E21" s="336">
        <f t="shared" si="2"/>
        <v>-2.5798525798525707E-2</v>
      </c>
      <c r="F21" s="337">
        <f t="shared" si="2"/>
        <v>6.3051702395964249E-3</v>
      </c>
      <c r="G21" s="410">
        <f t="shared" si="2"/>
        <v>3.2581453634084045E-3</v>
      </c>
      <c r="H21" s="410">
        <f t="shared" si="2"/>
        <v>1.1491381463901718E-3</v>
      </c>
      <c r="I21" s="405">
        <f t="shared" si="3"/>
        <v>1.2357016515483117E-3</v>
      </c>
      <c r="L21" s="330"/>
    </row>
    <row r="22" spans="1:13" ht="15.75" hidden="1" thickBot="1" x14ac:dyDescent="0.3">
      <c r="A22" s="295" t="s">
        <v>211</v>
      </c>
      <c r="B22" s="325"/>
      <c r="C22" s="325">
        <f t="shared" si="2"/>
        <v>0.23754789272030652</v>
      </c>
      <c r="D22" s="325">
        <f t="shared" si="2"/>
        <v>-0.32507739938080493</v>
      </c>
      <c r="E22" s="336">
        <f t="shared" si="2"/>
        <v>0.42201834862385312</v>
      </c>
      <c r="F22" s="337">
        <f t="shared" si="2"/>
        <v>9.6774193548387899E-3</v>
      </c>
      <c r="G22" s="410">
        <f t="shared" si="2"/>
        <v>-8.9456869009584605E-2</v>
      </c>
      <c r="H22" s="410">
        <f t="shared" si="2"/>
        <v>1.6842105263157547E-2</v>
      </c>
      <c r="I22" s="405">
        <f t="shared" si="3"/>
        <v>4.5258582928627743E-2</v>
      </c>
      <c r="L22" s="330"/>
    </row>
    <row r="23" spans="1:13" ht="15.75" hidden="1" thickBot="1" x14ac:dyDescent="0.3">
      <c r="A23" s="295" t="s">
        <v>209</v>
      </c>
      <c r="B23" s="325"/>
      <c r="C23" s="325">
        <f t="shared" si="2"/>
        <v>-0.13157894736842102</v>
      </c>
      <c r="D23" s="325">
        <f t="shared" si="2"/>
        <v>0.1212121212121211</v>
      </c>
      <c r="E23" s="336">
        <f t="shared" si="2"/>
        <v>-8.1081081081080919E-2</v>
      </c>
      <c r="F23" s="338">
        <f t="shared" si="2"/>
        <v>0</v>
      </c>
      <c r="G23" s="410">
        <f t="shared" si="2"/>
        <v>3.529411764705892E-2</v>
      </c>
      <c r="H23" s="410">
        <f t="shared" si="2"/>
        <v>-1.5909090909090873E-2</v>
      </c>
      <c r="I23" s="405">
        <f t="shared" si="3"/>
        <v>-1.2010480083235464E-2</v>
      </c>
      <c r="L23" s="330"/>
    </row>
    <row r="24" spans="1:13" x14ac:dyDescent="0.2">
      <c r="A24" s="374" t="s">
        <v>175</v>
      </c>
      <c r="B24" s="373">
        <f>YEAR('SPS Internal Use Generic 5 yr'!K6)</f>
        <v>2027</v>
      </c>
      <c r="C24" s="373">
        <f>YEAR('SPS Internal Use Generic 5 yr'!L6)</f>
        <v>2028</v>
      </c>
      <c r="D24" s="373">
        <f>YEAR('SPS Internal Use Generic 5 yr'!M6)</f>
        <v>2029</v>
      </c>
      <c r="E24" s="373">
        <f>YEAR('SPS Internal Use Generic 5 yr'!N6)</f>
        <v>2030</v>
      </c>
      <c r="F24" s="373">
        <f>YEAR('SPS Internal Use Generic 5 yr'!O6)</f>
        <v>2031</v>
      </c>
      <c r="G24" s="339"/>
      <c r="H24" s="339"/>
      <c r="I24" s="339"/>
      <c r="M24" s="330"/>
    </row>
    <row r="25" spans="1:13" x14ac:dyDescent="0.2">
      <c r="A25" s="374" t="s">
        <v>176</v>
      </c>
      <c r="B25" s="339">
        <f>MAX(0,MIN(12,B24-$B$4))</f>
        <v>1</v>
      </c>
      <c r="C25" s="339">
        <f>MAX(0,MIN(12,C24-$B$4))</f>
        <v>2</v>
      </c>
      <c r="D25" s="339">
        <f>MAX(0,MIN(12,D24-$B$4))</f>
        <v>3</v>
      </c>
      <c r="E25" s="339">
        <f>MAX(0,MIN(12,E24-$B$4))</f>
        <v>4</v>
      </c>
      <c r="F25" s="339">
        <f>MAX(0,MIN(12,F24-$B$4))</f>
        <v>5</v>
      </c>
      <c r="G25" s="339"/>
      <c r="H25" s="339"/>
      <c r="I25" s="339"/>
      <c r="M25" s="330"/>
    </row>
    <row r="26" spans="1:13" x14ac:dyDescent="0.2">
      <c r="A26" s="331" t="s">
        <v>168</v>
      </c>
      <c r="B26" s="350">
        <f t="shared" ref="B26:B33" si="4">IF($B$24&lt;=$H$4,(+VLOOKUP($A26,$A$6:$H$13,B$25+2,FALSE)*(VLOOKUP($A26,$A$16:$I$23,9,FALSE)^(MAX(0,$B$24-$H$4)))),H6)</f>
        <v>0.77400000000000002</v>
      </c>
      <c r="C26" s="350">
        <f>IF('SPS Internal Use Generic 5 yr'!$R$8="N",B26,IF($C$24&lt;=$H$4,(+VLOOKUP($A26,$A$6:$H$13,C$25+2,FALSE)*(VLOOKUP($A26,$A$16:$I$23,9,FALSE)^(MAX(0,$C$24-$H$4)))),H6))</f>
        <v>0.78400000000000003</v>
      </c>
      <c r="D26" s="350">
        <f>IF('SPS Internal Use Generic 5 yr'!$R$8="N",B26,IF($D$24&lt;=$H$4,(+VLOOKUP($A26,$A$6:$H$13,D$25+2,FALSE)*(VLOOKUP($A26,$A$16:$I$23,9,FALSE)^(MAX(0,$D$24-$H$4)))),H6))</f>
        <v>0.77300000000000002</v>
      </c>
      <c r="E26" s="350">
        <f>IF('SPS Internal Use Generic 5 yr'!$R$8="N",B26,IF($E$24&lt;=$H$4,(+VLOOKUP($A26,$A$6:$H$13,E$25+2,FALSE)*(VLOOKUP($A26,$A$16:$I$23,9,FALSE)^(MAX(0,$E$24-$H$4)))),H6))</f>
        <v>0.77800000000000002</v>
      </c>
      <c r="F26" s="350">
        <f>IF('SPS Internal Use Generic 5 yr'!$R$8="N",B26,IF($F$24&lt;=$H$4,(+VLOOKUP($A26,$A$6:$H$13,F$25+2,FALSE)*(VLOOKUP($A26,$A$16:$I$23,9,FALSE)^(MAX(0,$F$24-$H$4)))),H6))</f>
        <v>0.77480000000000016</v>
      </c>
      <c r="G26" s="98"/>
      <c r="H26" s="340"/>
      <c r="I26" s="98"/>
      <c r="M26" s="330"/>
    </row>
    <row r="27" spans="1:13" x14ac:dyDescent="0.2">
      <c r="A27" s="331" t="s">
        <v>169</v>
      </c>
      <c r="B27" s="350">
        <f t="shared" si="4"/>
        <v>0.51100000000000001</v>
      </c>
      <c r="C27" s="350">
        <f>IF('SPS Internal Use Generic 5 yr'!$R$8="N",B27,IF($C$24&lt;=$H$4,(+VLOOKUP($A27,$A$6:$H$13,C$25+2,FALSE)*(VLOOKUP($A27,$A$16:$I$23,9,FALSE)^(MAX(0,$C$24-$H$4)))),H7))</f>
        <v>0.504</v>
      </c>
      <c r="D27" s="350">
        <f>IF('SPS Internal Use Generic 5 yr'!$R$8="N",B27,IF($D$24&lt;=$H$4,(+VLOOKUP($A27,$A$6:$H$13,D$25+2,FALSE)*(VLOOKUP($A27,$A$16:$I$23,9,FALSE)^(MAX(0,$D$24-$H$4)))),H7))</f>
        <v>0.501</v>
      </c>
      <c r="E27" s="350">
        <f>IF('SPS Internal Use Generic 5 yr'!$R$8="N",B27,IF($E$24&lt;=$H$4,(+VLOOKUP($A27,$A$6:$H$13,E$25+2,FALSE)*(VLOOKUP($A27,$A$16:$I$23,9,FALSE)^(MAX(0,$E$24-$H$4)))),H7))</f>
        <v>0.502</v>
      </c>
      <c r="F27" s="350">
        <f>IF('SPS Internal Use Generic 5 yr'!$R$8="N",B27,IF($F$24&lt;=$H$4,(+VLOOKUP($A27,$A$6:$H$13,F$25+2,FALSE)*(VLOOKUP($A27,$A$16:$I$23,9,FALSE)^(MAX(0,$F$24-$H$4)))),H7))</f>
        <v>0.50939999999999996</v>
      </c>
      <c r="G27" s="98"/>
      <c r="H27" s="341"/>
      <c r="I27" s="98"/>
      <c r="M27" s="330"/>
    </row>
    <row r="28" spans="1:13" x14ac:dyDescent="0.2">
      <c r="A28" s="331" t="s">
        <v>170</v>
      </c>
      <c r="B28" s="350">
        <f t="shared" si="4"/>
        <v>0.34</v>
      </c>
      <c r="C28" s="350">
        <f>IF('SPS Internal Use Generic 5 yr'!$R$8="N",B28,IF($C$24&lt;=$H$4,(+VLOOKUP($A28,$A$6:$H$13,C$25+2,FALSE)*(VLOOKUP($A28,$A$16:$I$23,9,FALSE)^(MAX(0,$C$24-$H$4)))),H8))</f>
        <v>0.317</v>
      </c>
      <c r="D28" s="350">
        <f>IF('SPS Internal Use Generic 5 yr'!$R$8="N",B28,IF($D$24&lt;=$H$4,(+VLOOKUP($A28,$A$6:$H$13,D$25+2,FALSE)*(VLOOKUP($A28,$A$16:$I$23,9,FALSE)^(MAX(0,$D$24-$H$4)))),H8))</f>
        <v>0.32900000000000001</v>
      </c>
      <c r="E28" s="350">
        <f>IF('SPS Internal Use Generic 5 yr'!$R$8="N",B28,IF($E$24&lt;=$H$4,(+VLOOKUP($A28,$A$6:$H$13,E$25+2,FALSE)*(VLOOKUP($A28,$A$16:$I$23,9,FALSE)^(MAX(0,$E$24-$H$4)))),H8))</f>
        <v>0.32900000000000001</v>
      </c>
      <c r="F28" s="350">
        <f>IF('SPS Internal Use Generic 5 yr'!$R$8="N",B28,IF($F$24&lt;=$H$4,(+VLOOKUP($A28,$A$6:$H$13,F$25+2,FALSE)*(VLOOKUP($A28,$A$16:$I$23,9,FALSE)^(MAX(0,$F$24-$H$4)))),H8))</f>
        <v>0.33140000000000003</v>
      </c>
      <c r="G28" s="98"/>
      <c r="H28" s="341"/>
      <c r="I28" s="98"/>
      <c r="M28" s="330"/>
    </row>
    <row r="29" spans="1:13" x14ac:dyDescent="0.2">
      <c r="A29" s="331" t="s">
        <v>171</v>
      </c>
      <c r="B29" s="350">
        <f t="shared" si="4"/>
        <v>1.0740000000000001</v>
      </c>
      <c r="C29" s="350">
        <f>IF('SPS Internal Use Generic 5 yr'!$R$8="N",B29,IF($C$24&lt;=$H$4,(+VLOOKUP($A29,$A$6:$H$13,C$25+2,FALSE)*(VLOOKUP($A29,$A$16:$I$23,9,FALSE)^(MAX(0,$C$24-$H$4)))),H9))</f>
        <v>1.0940000000000001</v>
      </c>
      <c r="D29" s="350">
        <f>IF('SPS Internal Use Generic 5 yr'!$R$8="N",B29,IF($D$24&lt;=$H$4,(+VLOOKUP($A29,$A$6:$H$13,D$25+2,FALSE)*(VLOOKUP($A29,$A$16:$I$23,9,FALSE)^(MAX(0,$D$24-$H$4)))),H9))</f>
        <v>1.0489999999999999</v>
      </c>
      <c r="E29" s="350">
        <f>IF('SPS Internal Use Generic 5 yr'!$R$8="N",B29,IF($E$24&lt;=$H$4,(+VLOOKUP($A29,$A$6:$H$13,E$25+2,FALSE)*(VLOOKUP($A29,$A$16:$I$23,9,FALSE)^(MAX(0,$E$24-$H$4)))),H9))</f>
        <v>1.0640000000000001</v>
      </c>
      <c r="F29" s="350">
        <f>IF('SPS Internal Use Generic 5 yr'!$R$8="N",B29,IF($F$24&lt;=$H$4,(+VLOOKUP($A29,$A$6:$H$13,F$25+2,FALSE)*(VLOOKUP($A29,$A$16:$I$23,9,FALSE)^(MAX(0,$F$24-$H$4)))),H9))</f>
        <v>1.0660000000000001</v>
      </c>
      <c r="G29" s="98"/>
      <c r="H29" s="341"/>
      <c r="I29" s="98"/>
      <c r="M29" s="330"/>
    </row>
    <row r="30" spans="1:13" x14ac:dyDescent="0.2">
      <c r="A30" s="331" t="s">
        <v>172</v>
      </c>
      <c r="B30" s="350">
        <f t="shared" si="4"/>
        <v>0.91</v>
      </c>
      <c r="C30" s="350">
        <f>IF('SPS Internal Use Generic 5 yr'!$R$8="N",B30,IF($C$24&lt;=$H$4,(+VLOOKUP($A30,$A$6:$H$13,C$25+2,FALSE)*(VLOOKUP($A30,$A$16:$I$23,9,FALSE)^(MAX(0,$C$24-$H$4)))),H10))</f>
        <v>0.90100000000000002</v>
      </c>
      <c r="D30" s="350">
        <f>IF('SPS Internal Use Generic 5 yr'!$R$8="N",B30,IF($D$24&lt;=$H$4,(+VLOOKUP($A30,$A$6:$H$13,D$25+2,FALSE)*(VLOOKUP($A30,$A$16:$I$23,9,FALSE)^(MAX(0,$D$24-$H$4)))),H10))</f>
        <v>0.89100000000000001</v>
      </c>
      <c r="E30" s="350">
        <f>IF('SPS Internal Use Generic 5 yr'!$R$8="N",B30,IF($E$24&lt;=$H$4,(+VLOOKUP($A30,$A$6:$H$13,E$25+2,FALSE)*(VLOOKUP($A30,$A$16:$I$23,9,FALSE)^(MAX(0,$E$24-$H$4)))),H10))</f>
        <v>0.89800000000000002</v>
      </c>
      <c r="F30" s="350">
        <f>IF('SPS Internal Use Generic 5 yr'!$R$8="N",B30,IF($F$24&lt;=$H$4,(+VLOOKUP($A30,$A$6:$H$13,F$25+2,FALSE)*(VLOOKUP($A30,$A$16:$I$23,9,FALSE)^(MAX(0,$F$24-$H$4)))),H10))</f>
        <v>0.88460000000000005</v>
      </c>
      <c r="G30" s="98"/>
      <c r="H30" s="98"/>
      <c r="I30" s="98"/>
      <c r="M30" s="330"/>
    </row>
    <row r="31" spans="1:13" x14ac:dyDescent="0.2">
      <c r="A31" s="331" t="s">
        <v>173</v>
      </c>
      <c r="B31" s="350">
        <f t="shared" si="4"/>
        <v>0.80200000000000005</v>
      </c>
      <c r="C31" s="350">
        <f>IF('SPS Internal Use Generic 5 yr'!$R$8="N",B31,IF($C$24&lt;=$H$4,(+VLOOKUP($A31,$A$6:$H$13,C$25+2,FALSE)*(VLOOKUP($A31,$A$16:$I$23,9,FALSE)^(MAX(0,$C$24-$H$4)))),H11))</f>
        <v>0.81399999999999995</v>
      </c>
      <c r="D31" s="350">
        <f>IF('SPS Internal Use Generic 5 yr'!$R$8="N",B31,IF($D$24&lt;=$H$4,(+VLOOKUP($A31,$A$6:$H$13,D$25+2,FALSE)*(VLOOKUP($A31,$A$16:$I$23,9,FALSE)^(MAX(0,$D$24-$H$4)))),H11))</f>
        <v>0.79300000000000004</v>
      </c>
      <c r="E31" s="350">
        <f>IF('SPS Internal Use Generic 5 yr'!$R$8="N",B31,IF($E$24&lt;=$H$4,(+VLOOKUP($A31,$A$6:$H$13,E$25+2,FALSE)*(VLOOKUP($A31,$A$16:$I$23,9,FALSE)^(MAX(0,$E$24-$H$4)))),H11))</f>
        <v>0.79800000000000004</v>
      </c>
      <c r="F31" s="350">
        <f>IF('SPS Internal Use Generic 5 yr'!$R$8="N",B31,IF($F$24&lt;=$H$4,(+VLOOKUP($A31,$A$6:$H$13,F$25+2,FALSE)*(VLOOKUP($A31,$A$16:$I$23,9,FALSE)^(MAX(0,$F$24-$H$4)))),H11))</f>
        <v>0.80059999999999998</v>
      </c>
      <c r="G31" s="98"/>
      <c r="H31" s="98"/>
      <c r="I31" s="98"/>
      <c r="M31" s="330"/>
    </row>
    <row r="32" spans="1:13" x14ac:dyDescent="0.2">
      <c r="A32" s="331" t="s">
        <v>211</v>
      </c>
      <c r="B32" s="350">
        <f t="shared" si="4"/>
        <v>0.32300000000000001</v>
      </c>
      <c r="C32" s="350">
        <f>IF('SPS Internal Use Generic 5 yr'!$R$8="N",B32,IF($C$24&lt;=$H$4,(+VLOOKUP($A32,$A$6:$H$13,C$25+2,FALSE)*(VLOOKUP($A32,$A$16:$I$23,9,FALSE)^(MAX(0,$C$24-$H$4)))),H12))</f>
        <v>0.218</v>
      </c>
      <c r="D32" s="350">
        <f>IF('SPS Internal Use Generic 5 yr'!$R$8="N",B32,IF($D$24&lt;=$H$4,(+VLOOKUP($A32,$A$6:$H$13,D$25+2,FALSE)*(VLOOKUP($A32,$A$16:$I$23,9,FALSE)^(MAX(0,$D$24-$H$4)))),H12))</f>
        <v>0.31</v>
      </c>
      <c r="E32" s="350">
        <f>IF('SPS Internal Use Generic 5 yr'!$R$8="N",B32,IF($E$24&lt;=$H$4,(+VLOOKUP($A32,$A$6:$H$13,E$25+2,FALSE)*(VLOOKUP($A32,$A$16:$I$23,9,FALSE)^(MAX(0,$E$24-$H$4)))),H12))</f>
        <v>0.313</v>
      </c>
      <c r="F32" s="350">
        <f>IF('SPS Internal Use Generic 5 yr'!$R$8="N",B32,IF($F$24&lt;=$H$4,(+VLOOKUP($A32,$A$6:$H$13,F$25+2,FALSE)*(VLOOKUP($A32,$A$16:$I$23,9,FALSE)^(MAX(0,$F$24-$H$4)))),H12))</f>
        <v>0.28500000000000003</v>
      </c>
      <c r="G32" s="98"/>
      <c r="H32" s="98"/>
      <c r="I32" s="98"/>
      <c r="M32" s="330"/>
    </row>
    <row r="33" spans="1:13" x14ac:dyDescent="0.2">
      <c r="A33" s="331" t="s">
        <v>209</v>
      </c>
      <c r="B33" s="350">
        <f t="shared" si="4"/>
        <v>3.3000000000000002E-2</v>
      </c>
      <c r="C33" s="350">
        <f>IF('SPS Internal Use Generic 5 yr'!$R$8="N",B33,IF($C$24&lt;=$H$4,(+VLOOKUP($A33,$A$6:$H$13,C$25+2,FALSE)*(VLOOKUP($A33,$A$16:$I$23,9,FALSE)^(MAX(0,$C$24-$H$4)))),H13))</f>
        <v>3.6999999999999998E-2</v>
      </c>
      <c r="D33" s="350">
        <f>IF('SPS Internal Use Generic 5 yr'!$R$8="N",B33,IF($D$24&lt;=$H$4,(+VLOOKUP($A33,$A$6:$H$13,D$25+2,FALSE)*(VLOOKUP($A33,$A$16:$I$23,9,FALSE)^(MAX(0,$D$24-$H$4)))),H13))</f>
        <v>3.4000000000000002E-2</v>
      </c>
      <c r="E33" s="350">
        <f>IF('SPS Internal Use Generic 5 yr'!$R$8="N",B33,IF($E$24&lt;=$H$4,(+VLOOKUP($A33,$A$6:$H$13,E$25+2,FALSE)*(VLOOKUP($A33,$A$16:$I$23,9,FALSE)^(MAX(0,$E$24-$H$4)))),H13))</f>
        <v>3.4000000000000002E-2</v>
      </c>
      <c r="F33" s="350">
        <f>IF('SPS Internal Use Generic 5 yr'!$R$8="N",B33,IF($F$24&lt;=$H$4,(+VLOOKUP($A33,$A$6:$H$13,F$25+2,FALSE)*(VLOOKUP($A33,$A$16:$I$23,9,FALSE)^(MAX(0,$F$24-$H$4)))),H13))</f>
        <v>3.5200000000000002E-2</v>
      </c>
      <c r="G33" s="98"/>
      <c r="H33" s="342"/>
      <c r="I33" s="98"/>
      <c r="M33" s="331"/>
    </row>
    <row r="34" spans="1:13" x14ac:dyDescent="0.2">
      <c r="A34" s="331"/>
      <c r="B34" s="350"/>
      <c r="C34" s="350"/>
      <c r="D34" s="350"/>
      <c r="E34" s="350"/>
      <c r="F34" s="350"/>
      <c r="G34" s="98"/>
      <c r="H34" s="342"/>
      <c r="I34" s="98"/>
      <c r="M34" s="331"/>
    </row>
    <row r="35" spans="1:13" ht="14.25" hidden="1" x14ac:dyDescent="0.2">
      <c r="A35" s="417" t="s">
        <v>266</v>
      </c>
      <c r="B35" s="350"/>
      <c r="C35" s="350"/>
      <c r="D35" s="350"/>
      <c r="E35" s="350"/>
      <c r="F35" s="350"/>
      <c r="G35" s="98"/>
      <c r="H35" s="342"/>
      <c r="I35" s="98"/>
      <c r="M35" s="331"/>
    </row>
    <row r="36" spans="1:13" ht="15" hidden="1" x14ac:dyDescent="0.2">
      <c r="A36" s="418" t="s">
        <v>267</v>
      </c>
      <c r="B36" s="350"/>
      <c r="C36" s="350"/>
      <c r="D36" s="350"/>
      <c r="E36" s="350"/>
      <c r="F36" s="350"/>
      <c r="G36" s="98"/>
      <c r="H36" s="342"/>
      <c r="I36" s="98"/>
      <c r="M36" s="331"/>
    </row>
    <row r="37" spans="1:13" ht="15" hidden="1" x14ac:dyDescent="0.2">
      <c r="A37" s="418" t="s">
        <v>268</v>
      </c>
      <c r="B37" s="350"/>
      <c r="C37" s="350"/>
      <c r="D37" s="350"/>
      <c r="E37" s="350"/>
      <c r="F37" s="350"/>
      <c r="G37" s="98"/>
      <c r="H37" s="342"/>
      <c r="I37" s="98"/>
      <c r="M37" s="331"/>
    </row>
    <row r="38" spans="1:13" ht="7.5" hidden="1" customHeight="1" x14ac:dyDescent="0.2">
      <c r="A38" s="418"/>
      <c r="B38" s="350"/>
      <c r="C38" s="350"/>
      <c r="D38" s="350"/>
      <c r="E38" s="350"/>
      <c r="F38" s="350"/>
      <c r="G38" s="98"/>
      <c r="H38" s="342"/>
      <c r="I38" s="98"/>
      <c r="M38" s="331"/>
    </row>
    <row r="39" spans="1:13" ht="15" hidden="1" x14ac:dyDescent="0.2">
      <c r="A39" s="418" t="s">
        <v>269</v>
      </c>
      <c r="B39" s="350"/>
      <c r="C39" s="350"/>
      <c r="D39" s="350"/>
      <c r="E39" s="350"/>
      <c r="F39" s="350"/>
      <c r="G39" s="98"/>
      <c r="H39" s="342"/>
      <c r="I39" s="98"/>
      <c r="M39" s="331"/>
    </row>
    <row r="40" spans="1:13" hidden="1" x14ac:dyDescent="0.2">
      <c r="A40" s="331"/>
      <c r="B40" s="350"/>
      <c r="C40" s="350"/>
      <c r="D40" s="350"/>
      <c r="E40" s="350"/>
      <c r="F40" s="350"/>
      <c r="G40" s="98"/>
      <c r="H40" s="342"/>
      <c r="I40" s="98"/>
      <c r="M40" s="331"/>
    </row>
    <row r="41" spans="1:13" hidden="1" x14ac:dyDescent="0.2">
      <c r="A41" s="343" t="s">
        <v>270</v>
      </c>
      <c r="B41" s="343"/>
      <c r="C41" s="331"/>
      <c r="D41" s="330"/>
      <c r="E41" s="330"/>
      <c r="F41" s="281"/>
      <c r="G41" s="281"/>
      <c r="H41" s="281"/>
      <c r="I41" s="281"/>
      <c r="M41" s="331"/>
    </row>
    <row r="42" spans="1:13" hidden="1" x14ac:dyDescent="0.2">
      <c r="A42" s="331" t="s">
        <v>216</v>
      </c>
      <c r="B42" s="331"/>
      <c r="C42" s="331"/>
      <c r="D42" s="330"/>
      <c r="E42" s="330"/>
      <c r="F42" s="281"/>
      <c r="G42" s="281"/>
      <c r="H42" s="342"/>
      <c r="I42" s="281"/>
      <c r="M42" s="331"/>
    </row>
    <row r="43" spans="1:13" hidden="1" x14ac:dyDescent="0.2">
      <c r="A43" s="331" t="s">
        <v>217</v>
      </c>
      <c r="B43" s="331"/>
      <c r="C43" s="331"/>
      <c r="D43" s="330"/>
      <c r="E43" s="330"/>
      <c r="F43" s="281"/>
      <c r="G43" s="281"/>
      <c r="H43" s="281"/>
      <c r="I43" s="281"/>
      <c r="M43" s="331"/>
    </row>
    <row r="44" spans="1:13" hidden="1" x14ac:dyDescent="0.2">
      <c r="A44" s="331"/>
      <c r="B44" s="331"/>
      <c r="C44" s="331"/>
      <c r="D44" s="330"/>
      <c r="E44" s="330"/>
      <c r="F44" s="281"/>
      <c r="G44" s="281"/>
      <c r="H44" s="281"/>
      <c r="I44" s="281"/>
      <c r="M44" s="331"/>
    </row>
    <row r="45" spans="1:13" ht="14.25" hidden="1" x14ac:dyDescent="0.2">
      <c r="A45" s="419" t="s">
        <v>271</v>
      </c>
      <c r="B45" s="331"/>
      <c r="C45" s="331"/>
      <c r="D45" s="330"/>
      <c r="E45" s="330"/>
      <c r="F45" s="281"/>
      <c r="G45" s="281"/>
      <c r="H45" s="281"/>
      <c r="I45" s="281"/>
      <c r="M45" s="331"/>
    </row>
    <row r="46" spans="1:13" hidden="1" x14ac:dyDescent="0.2">
      <c r="A46" s="343" t="s">
        <v>272</v>
      </c>
      <c r="B46" s="343"/>
      <c r="C46" s="331"/>
      <c r="D46" s="331"/>
      <c r="E46" s="411" t="s">
        <v>273</v>
      </c>
      <c r="F46" s="331"/>
      <c r="G46" s="281"/>
      <c r="H46" s="281"/>
      <c r="I46" s="281"/>
      <c r="M46" s="331"/>
    </row>
    <row r="47" spans="1:13" hidden="1" x14ac:dyDescent="0.2">
      <c r="A47" s="331" t="s">
        <v>218</v>
      </c>
      <c r="B47" s="331"/>
      <c r="C47" s="331"/>
      <c r="D47" s="331"/>
      <c r="E47" s="331"/>
      <c r="F47" s="331"/>
      <c r="G47" s="344"/>
      <c r="H47" s="344"/>
      <c r="I47" s="344"/>
      <c r="M47" s="331"/>
    </row>
    <row r="48" spans="1:13" hidden="1" x14ac:dyDescent="0.2">
      <c r="A48" s="331" t="s">
        <v>219</v>
      </c>
      <c r="B48" s="331"/>
      <c r="C48" s="331"/>
      <c r="D48" s="331"/>
      <c r="E48" s="331"/>
      <c r="F48" s="331"/>
      <c r="G48" s="344"/>
      <c r="H48" s="344"/>
      <c r="I48" s="344"/>
      <c r="M48" s="331"/>
    </row>
    <row r="49" spans="1:13" hidden="1" x14ac:dyDescent="0.2">
      <c r="A49" s="331" t="s">
        <v>220</v>
      </c>
      <c r="B49" s="331"/>
      <c r="C49" s="331"/>
      <c r="D49" s="331"/>
      <c r="E49" s="331"/>
      <c r="F49" s="331"/>
      <c r="G49" s="344"/>
      <c r="H49" s="344"/>
      <c r="I49" s="344"/>
      <c r="M49" s="331"/>
    </row>
    <row r="50" spans="1:13" hidden="1" x14ac:dyDescent="0.2">
      <c r="A50" s="331" t="s">
        <v>221</v>
      </c>
      <c r="B50" s="331"/>
      <c r="C50" s="331"/>
      <c r="D50" s="331"/>
      <c r="E50" s="331"/>
      <c r="F50" s="331"/>
      <c r="G50" s="344"/>
      <c r="H50" s="344"/>
      <c r="I50" s="344"/>
      <c r="M50" s="331"/>
    </row>
    <row r="51" spans="1:13" hidden="1" x14ac:dyDescent="0.2">
      <c r="A51" s="331"/>
      <c r="B51" s="345"/>
      <c r="C51" s="345"/>
      <c r="D51" s="345"/>
      <c r="E51" s="345"/>
      <c r="F51" s="345"/>
      <c r="G51" s="344"/>
      <c r="H51" s="344"/>
      <c r="I51" s="344"/>
      <c r="M51" s="331"/>
    </row>
    <row r="52" spans="1:13" hidden="1" x14ac:dyDescent="0.2">
      <c r="A52" s="331" t="s">
        <v>222</v>
      </c>
      <c r="B52" s="346"/>
      <c r="C52" s="346"/>
      <c r="D52" s="346"/>
      <c r="E52" s="346"/>
      <c r="F52" s="346"/>
      <c r="G52" s="344"/>
      <c r="H52" s="344"/>
      <c r="I52" s="344"/>
      <c r="M52" s="331"/>
    </row>
    <row r="53" spans="1:13" hidden="1" x14ac:dyDescent="0.2">
      <c r="A53" s="331" t="s">
        <v>223</v>
      </c>
      <c r="B53" s="346"/>
      <c r="C53" s="331"/>
      <c r="D53" s="331"/>
      <c r="E53" s="344"/>
      <c r="F53" s="344"/>
      <c r="G53" s="344"/>
      <c r="H53" s="344"/>
      <c r="I53" s="344"/>
      <c r="M53" s="331"/>
    </row>
    <row r="54" spans="1:13" hidden="1" x14ac:dyDescent="0.2">
      <c r="A54" s="331" t="s">
        <v>224</v>
      </c>
      <c r="B54" s="346"/>
      <c r="C54" s="331"/>
      <c r="D54" s="331"/>
      <c r="E54" s="344"/>
      <c r="F54" s="344"/>
      <c r="G54" s="344"/>
      <c r="H54" s="344"/>
      <c r="I54" s="344"/>
      <c r="M54" s="331"/>
    </row>
    <row r="55" spans="1:13" hidden="1" x14ac:dyDescent="0.2">
      <c r="A55" s="331" t="s">
        <v>225</v>
      </c>
      <c r="B55" s="346"/>
      <c r="C55" s="331"/>
      <c r="D55" s="331"/>
      <c r="E55" s="344"/>
      <c r="F55" s="344"/>
      <c r="G55" s="344"/>
      <c r="H55" s="344"/>
      <c r="I55" s="344"/>
      <c r="M55" s="331"/>
    </row>
    <row r="56" spans="1:13" hidden="1" x14ac:dyDescent="0.2">
      <c r="A56" s="331" t="s">
        <v>226</v>
      </c>
      <c r="B56" s="346"/>
      <c r="C56" s="331"/>
      <c r="D56" s="331"/>
      <c r="E56" s="344"/>
      <c r="F56" s="344"/>
      <c r="G56" s="344"/>
      <c r="H56" s="344"/>
      <c r="I56" s="344"/>
      <c r="M56" s="331"/>
    </row>
    <row r="57" spans="1:13" hidden="1" x14ac:dyDescent="0.2">
      <c r="A57" s="331" t="s">
        <v>227</v>
      </c>
      <c r="B57" s="346"/>
      <c r="C57" s="331"/>
      <c r="D57" s="331"/>
      <c r="E57" s="331"/>
      <c r="F57" s="281"/>
      <c r="G57" s="281"/>
      <c r="H57" s="281"/>
      <c r="I57" s="281"/>
      <c r="M57" s="331"/>
    </row>
    <row r="58" spans="1:13" hidden="1" x14ac:dyDescent="0.2">
      <c r="A58" s="331" t="s">
        <v>228</v>
      </c>
      <c r="B58" s="331"/>
      <c r="C58" s="331"/>
      <c r="D58" s="331"/>
      <c r="E58" s="331"/>
      <c r="F58" s="281"/>
      <c r="G58" s="281"/>
      <c r="H58" s="281"/>
      <c r="I58" s="281"/>
      <c r="M58" s="331"/>
    </row>
    <row r="59" spans="1:13" hidden="1" x14ac:dyDescent="0.2">
      <c r="A59" s="331" t="s">
        <v>229</v>
      </c>
      <c r="B59" s="331"/>
      <c r="C59" s="331"/>
      <c r="D59" s="331"/>
      <c r="E59" s="331"/>
      <c r="F59" s="281"/>
      <c r="G59" s="281"/>
      <c r="H59" s="281"/>
      <c r="I59" s="281"/>
      <c r="M59" s="331"/>
    </row>
    <row r="60" spans="1:13" hidden="1" x14ac:dyDescent="0.2">
      <c r="A60" s="331" t="s">
        <v>230</v>
      </c>
      <c r="B60" s="331"/>
      <c r="C60" s="331"/>
      <c r="D60" s="330"/>
      <c r="E60" s="330"/>
      <c r="F60" s="281"/>
      <c r="G60" s="281"/>
      <c r="H60" s="281"/>
      <c r="I60" s="281"/>
      <c r="M60" s="331"/>
    </row>
    <row r="61" spans="1:13" hidden="1" x14ac:dyDescent="0.2">
      <c r="A61" s="331" t="s">
        <v>231</v>
      </c>
      <c r="B61" s="331"/>
      <c r="C61" s="331"/>
      <c r="D61" s="330"/>
      <c r="E61" s="330"/>
      <c r="F61" s="281"/>
      <c r="G61" s="281"/>
      <c r="H61" s="281"/>
      <c r="I61" s="281"/>
      <c r="M61" s="330"/>
    </row>
    <row r="62" spans="1:13" hidden="1" x14ac:dyDescent="0.2">
      <c r="A62" s="331"/>
      <c r="B62" s="331"/>
      <c r="C62" s="331"/>
      <c r="D62" s="331"/>
      <c r="E62" s="331"/>
      <c r="F62" s="281"/>
      <c r="G62" s="281"/>
      <c r="H62" s="281"/>
      <c r="I62" s="281"/>
      <c r="M62" s="330"/>
    </row>
    <row r="63" spans="1:13" hidden="1" x14ac:dyDescent="0.2">
      <c r="A63" s="347" t="s">
        <v>232</v>
      </c>
      <c r="B63" s="347"/>
      <c r="C63" s="347"/>
      <c r="D63" s="347"/>
      <c r="E63" s="347"/>
      <c r="F63" s="348"/>
      <c r="G63" s="281"/>
      <c r="H63" s="281"/>
      <c r="I63" s="281"/>
      <c r="M63" s="331"/>
    </row>
    <row r="64" spans="1:13" hidden="1" x14ac:dyDescent="0.2">
      <c r="B64" s="331"/>
      <c r="C64" s="331"/>
      <c r="D64" s="331"/>
      <c r="E64" s="331"/>
      <c r="F64" s="281"/>
      <c r="G64" s="281"/>
      <c r="H64" s="281"/>
      <c r="I64" s="281"/>
      <c r="M64" s="331"/>
    </row>
    <row r="65" spans="1:13" hidden="1" x14ac:dyDescent="0.2">
      <c r="A65" s="347" t="s">
        <v>233</v>
      </c>
      <c r="B65" s="347"/>
      <c r="C65" s="347"/>
      <c r="D65" s="347"/>
      <c r="E65" s="347"/>
      <c r="F65" s="348"/>
      <c r="G65" s="281"/>
      <c r="H65" s="281"/>
      <c r="I65" s="281"/>
      <c r="M65" s="331"/>
    </row>
    <row r="66" spans="1:13" hidden="1" x14ac:dyDescent="0.2">
      <c r="A66" s="347" t="s">
        <v>234</v>
      </c>
      <c r="B66" s="347"/>
      <c r="C66" s="347"/>
      <c r="D66" s="347"/>
      <c r="E66" s="347"/>
      <c r="F66" s="348"/>
      <c r="G66" s="281"/>
      <c r="H66" s="281"/>
      <c r="I66" s="281"/>
      <c r="M66" s="331"/>
    </row>
    <row r="67" spans="1:13" hidden="1" x14ac:dyDescent="0.2">
      <c r="A67" s="347" t="s">
        <v>235</v>
      </c>
      <c r="B67" s="347"/>
      <c r="C67" s="347"/>
      <c r="D67" s="347"/>
      <c r="E67" s="347"/>
      <c r="F67" s="348"/>
      <c r="G67" s="281"/>
      <c r="H67" s="281"/>
      <c r="I67" s="281"/>
      <c r="M67" s="331"/>
    </row>
    <row r="68" spans="1:13" hidden="1" x14ac:dyDescent="0.2">
      <c r="A68" s="347" t="s">
        <v>236</v>
      </c>
      <c r="B68" s="347"/>
      <c r="C68" s="347"/>
      <c r="D68" s="347"/>
      <c r="E68" s="347"/>
      <c r="F68" s="348"/>
      <c r="G68" s="281"/>
      <c r="H68" s="281"/>
      <c r="I68" s="281"/>
      <c r="M68" s="331"/>
    </row>
    <row r="69" spans="1:13" x14ac:dyDescent="0.2">
      <c r="A69" s="331"/>
      <c r="B69" s="331"/>
      <c r="C69" s="331"/>
      <c r="D69" s="331"/>
      <c r="E69" s="331"/>
      <c r="F69" s="281"/>
      <c r="G69" s="281"/>
      <c r="H69" s="281"/>
      <c r="I69" s="281"/>
      <c r="M69" s="331"/>
    </row>
    <row r="70" spans="1:13" x14ac:dyDescent="0.2">
      <c r="A70" s="331"/>
      <c r="B70" s="331"/>
      <c r="C70" s="331"/>
      <c r="D70" s="331"/>
      <c r="E70" s="331"/>
      <c r="F70" s="281"/>
      <c r="G70" s="281"/>
      <c r="H70" s="281"/>
      <c r="I70" s="281"/>
      <c r="M70" s="331"/>
    </row>
    <row r="71" spans="1:13" x14ac:dyDescent="0.2">
      <c r="A71" s="331"/>
      <c r="B71" s="331"/>
      <c r="C71" s="331"/>
      <c r="D71" s="331"/>
      <c r="E71" s="331"/>
      <c r="F71" s="281"/>
      <c r="G71" s="281"/>
      <c r="H71" s="281"/>
      <c r="I71" s="281"/>
      <c r="M71" s="331"/>
    </row>
    <row r="72" spans="1:13" x14ac:dyDescent="0.2">
      <c r="A72" s="331"/>
      <c r="B72" s="331"/>
      <c r="C72" s="331"/>
      <c r="D72" s="331"/>
      <c r="E72" s="331"/>
      <c r="F72" s="281"/>
      <c r="G72" s="281"/>
      <c r="H72" s="281"/>
      <c r="I72" s="281"/>
      <c r="M72" s="331"/>
    </row>
    <row r="73" spans="1:13" x14ac:dyDescent="0.2">
      <c r="A73" s="331"/>
      <c r="B73" s="331"/>
      <c r="C73" s="331"/>
      <c r="D73" s="331"/>
      <c r="E73" s="331"/>
      <c r="F73" s="281"/>
      <c r="G73" s="281"/>
      <c r="H73" s="281"/>
      <c r="I73" s="281"/>
      <c r="M73" s="331"/>
    </row>
    <row r="74" spans="1:13" x14ac:dyDescent="0.2">
      <c r="A74" s="331"/>
      <c r="B74" s="331"/>
      <c r="C74" s="331"/>
      <c r="D74" s="331"/>
      <c r="E74" s="331"/>
      <c r="F74" s="281"/>
      <c r="G74" s="281"/>
      <c r="H74" s="281"/>
      <c r="I74" s="281"/>
      <c r="J74" s="1"/>
      <c r="M74" s="331"/>
    </row>
    <row r="75" spans="1:13" x14ac:dyDescent="0.2">
      <c r="A75" s="331" t="s">
        <v>28</v>
      </c>
      <c r="B75" s="331"/>
      <c r="C75" s="331"/>
      <c r="D75" s="331"/>
      <c r="E75" s="331"/>
      <c r="F75" s="281"/>
      <c r="G75" s="281"/>
      <c r="H75" s="281"/>
      <c r="I75" s="281"/>
      <c r="M75" s="331"/>
    </row>
    <row r="76" spans="1:13" x14ac:dyDescent="0.2">
      <c r="A76" s="331"/>
      <c r="B76" s="331"/>
      <c r="C76" s="331"/>
      <c r="D76" s="331"/>
      <c r="E76" s="331"/>
      <c r="F76" s="281"/>
      <c r="G76" s="281"/>
      <c r="H76" s="281"/>
      <c r="I76" s="281"/>
      <c r="M76" s="331"/>
    </row>
    <row r="77" spans="1:13" x14ac:dyDescent="0.2">
      <c r="A77" s="331"/>
      <c r="B77" s="331"/>
      <c r="C77" s="331"/>
      <c r="D77" s="331"/>
      <c r="E77" s="331"/>
      <c r="F77" s="281"/>
      <c r="G77" s="281"/>
      <c r="H77" s="281"/>
      <c r="I77" s="281"/>
      <c r="M77" s="331"/>
    </row>
    <row r="78" spans="1:13" x14ac:dyDescent="0.2">
      <c r="A78" s="331"/>
      <c r="B78" s="331"/>
      <c r="C78" s="331"/>
      <c r="D78" s="331"/>
      <c r="E78" s="331"/>
      <c r="F78" s="281"/>
      <c r="G78" s="281"/>
      <c r="H78" s="281"/>
      <c r="I78" s="281"/>
      <c r="M78" s="331"/>
    </row>
    <row r="79" spans="1:13" x14ac:dyDescent="0.2">
      <c r="A79" s="349"/>
      <c r="B79" s="331"/>
      <c r="C79" s="331"/>
      <c r="D79" s="331"/>
      <c r="E79" s="331"/>
      <c r="F79" s="1"/>
      <c r="G79" s="1"/>
      <c r="H79" s="1"/>
      <c r="I79" s="1"/>
      <c r="M79" s="331"/>
    </row>
    <row r="80" spans="1:13" x14ac:dyDescent="0.2">
      <c r="A80" s="349"/>
      <c r="B80" s="331"/>
      <c r="C80" s="331"/>
      <c r="D80" s="331"/>
      <c r="E80" s="331"/>
      <c r="F80" s="1"/>
      <c r="G80" s="1"/>
      <c r="H80" s="1"/>
      <c r="I80" s="1"/>
    </row>
    <row r="81" spans="1:9" x14ac:dyDescent="0.2">
      <c r="A81" s="349"/>
      <c r="B81" s="331"/>
      <c r="C81" s="331"/>
      <c r="D81" s="331"/>
      <c r="E81" s="331"/>
      <c r="F81" s="1"/>
      <c r="G81" s="1"/>
      <c r="H81" s="1"/>
      <c r="I81" s="1"/>
    </row>
    <row r="82" spans="1:9" x14ac:dyDescent="0.2">
      <c r="A82" s="349"/>
      <c r="B82" s="331"/>
      <c r="C82" s="331"/>
      <c r="D82" s="331"/>
      <c r="E82" s="331"/>
      <c r="F82" s="1"/>
      <c r="G82" s="1"/>
      <c r="H82" s="1"/>
      <c r="I82" s="1"/>
    </row>
    <row r="83" spans="1:9" x14ac:dyDescent="0.2">
      <c r="A83" s="349"/>
      <c r="B83" s="331"/>
      <c r="C83" s="331"/>
      <c r="D83" s="331"/>
      <c r="E83" s="331"/>
      <c r="F83" s="1"/>
      <c r="G83" s="1"/>
      <c r="H83" s="1"/>
      <c r="I83" s="1"/>
    </row>
    <row r="84" spans="1:9" x14ac:dyDescent="0.2">
      <c r="A84" s="349"/>
      <c r="B84" s="331"/>
      <c r="C84" s="331"/>
      <c r="D84" s="331"/>
      <c r="E84" s="331"/>
      <c r="F84" s="1"/>
      <c r="G84" s="1"/>
      <c r="H84" s="1"/>
      <c r="I84" s="1"/>
    </row>
    <row r="85" spans="1:9" x14ac:dyDescent="0.2">
      <c r="A85" s="349"/>
      <c r="B85" s="331"/>
      <c r="C85" s="331"/>
      <c r="D85" s="331"/>
      <c r="E85" s="331"/>
      <c r="F85" s="1"/>
      <c r="G85" s="1"/>
      <c r="H85" s="1"/>
      <c r="I85" s="1"/>
    </row>
    <row r="86" spans="1:9" x14ac:dyDescent="0.2">
      <c r="A86" s="349"/>
      <c r="B86" s="331"/>
      <c r="C86" s="331"/>
      <c r="D86" s="331"/>
      <c r="E86" s="331"/>
      <c r="F86" s="331"/>
      <c r="G86" s="331"/>
      <c r="H86" s="331"/>
      <c r="I86" s="331"/>
    </row>
    <row r="152" spans="7:7" x14ac:dyDescent="0.2">
      <c r="G152" t="s">
        <v>28</v>
      </c>
    </row>
  </sheetData>
  <sheetProtection algorithmName="SHA-512" hashValue="pAtLJ2aukpftESmiJxW5DF7Woi9BcG9p7mO1M2ZBYHMU1XP4+pFQq9Mm+nAxxz2gaNc14s5GNjLEFivFmcAp6A==" saltValue="X5U07oWESCCXIumMhUybXQ==" spinCount="100000" sheet="1"/>
  <mergeCells count="5">
    <mergeCell ref="A4:A5"/>
    <mergeCell ref="I4:I5"/>
    <mergeCell ref="A1:A2"/>
    <mergeCell ref="B3:C3"/>
    <mergeCell ref="D3:F3"/>
  </mergeCells>
  <hyperlinks>
    <hyperlink ref="B3" r:id="rId1" xr:uid="{222205AA-B29D-4808-B91A-15AB443E0C9B}"/>
    <hyperlink ref="D3" r:id="rId2" xr:uid="{9A2FA86E-6B52-4044-8403-61EF0D6F4A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SPS Internal Use Generic 5 yr</vt:lpstr>
      <vt:lpstr>To Sponsor-Summary-Exhibit D</vt:lpstr>
      <vt:lpstr>Person Month Conversion tool</vt:lpstr>
      <vt:lpstr>NIH Sal Cap Calculator</vt:lpstr>
      <vt:lpstr>F&amp;A History</vt:lpstr>
      <vt:lpstr>Eclass OPE Rates</vt:lpstr>
      <vt:lpstr>'SPS Internal Use Generic 5 yr'!Print_Area</vt:lpstr>
      <vt:lpstr>'To Sponsor-Summary-Exhibit D'!Print_Area</vt:lpstr>
      <vt:lpstr>'SPS Internal Use Generic 5 yr'!Print_Titles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3 year budget, 8/04</dc:title>
  <dc:creator>ORSP-1</dc:creator>
  <cp:lastModifiedBy>Jennifer Clark</cp:lastModifiedBy>
  <cp:lastPrinted>2022-03-02T19:52:41Z</cp:lastPrinted>
  <dcterms:created xsi:type="dcterms:W3CDTF">1999-06-18T21:53:54Z</dcterms:created>
  <dcterms:modified xsi:type="dcterms:W3CDTF">2026-09-14T16:46:46Z</dcterms:modified>
</cp:coreProperties>
</file>