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PRE-AWARD SPA FOLDER\QRC Updates and Generic Budget Templates\0 QRC Budget Templates 2026\9-25-2026\"/>
    </mc:Choice>
  </mc:AlternateContent>
  <xr:revisionPtr revIDLastSave="0" documentId="13_ncr:1_{8D1C3BA6-0AD3-4C01-B69D-0C143126F034}" xr6:coauthVersionLast="47" xr6:coauthVersionMax="47" xr10:uidLastSave="{00000000-0000-0000-0000-000000000000}"/>
  <bookViews>
    <workbookView xWindow="-23148" yWindow="-276" windowWidth="23256" windowHeight="12456" xr2:uid="{0ED0D470-897F-424E-AA18-A08EFF765A71}"/>
  </bookViews>
  <sheets>
    <sheet name="NIH Modular Budget Template" sheetId="5" r:id="rId1"/>
    <sheet name="Person Month Conversion tool" sheetId="6" r:id="rId2"/>
    <sheet name="NIH Sal Cap Calculator" sheetId="7" r:id="rId3"/>
    <sheet name="F&amp;A History" sheetId="8" state="hidden" r:id="rId4"/>
    <sheet name="Eclass OPE Rates" sheetId="9" r:id="rId5"/>
  </sheets>
  <definedNames>
    <definedName name="_xlnm.Print_Area" localSheetId="0">'NIH Modular Budget Template'!$A$3:$P$182</definedName>
    <definedName name="_xlnm.Print_Area">#REF!</definedName>
    <definedName name="_xlnm.Print_Titles" localSheetId="0">'NIH Modular Budget Template'!$4:$8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9" l="1"/>
  <c r="G17" i="9" s="1"/>
  <c r="G8" i="9"/>
  <c r="G18" i="9" s="1"/>
  <c r="G9" i="9"/>
  <c r="H9" i="9" s="1"/>
  <c r="H19" i="9" s="1"/>
  <c r="G10" i="9"/>
  <c r="H10" i="9" s="1"/>
  <c r="H20" i="9" s="1"/>
  <c r="G11" i="9"/>
  <c r="H11" i="9" s="1"/>
  <c r="H21" i="9" s="1"/>
  <c r="G12" i="9"/>
  <c r="G22" i="9" s="1"/>
  <c r="G13" i="9"/>
  <c r="G23" i="9" s="1"/>
  <c r="G6" i="9"/>
  <c r="G16" i="9" s="1"/>
  <c r="U14" i="5"/>
  <c r="A3" i="9"/>
  <c r="U15" i="5"/>
  <c r="H7" i="9"/>
  <c r="H17" i="9" s="1"/>
  <c r="H8" i="9"/>
  <c r="H18" i="9" s="1"/>
  <c r="B2" i="5"/>
  <c r="B4" i="5"/>
  <c r="U4" i="5"/>
  <c r="U8" i="5" s="1"/>
  <c r="V8" i="5" s="1"/>
  <c r="W8" i="5" s="1"/>
  <c r="X8" i="5" s="1"/>
  <c r="Y8" i="5" s="1"/>
  <c r="Z8" i="5" s="1"/>
  <c r="U9" i="5"/>
  <c r="V9" i="5" s="1"/>
  <c r="W9" i="5" s="1"/>
  <c r="X9" i="5" s="1"/>
  <c r="Y9" i="5" s="1"/>
  <c r="Z9" i="5" s="1"/>
  <c r="V4" i="5"/>
  <c r="W4" i="5"/>
  <c r="X4" i="5"/>
  <c r="Y4" i="5"/>
  <c r="L5" i="5"/>
  <c r="Z4" i="5" s="1"/>
  <c r="L6" i="5"/>
  <c r="M5" i="5" s="1"/>
  <c r="K12" i="5"/>
  <c r="V12" i="5"/>
  <c r="W12" i="5" s="1"/>
  <c r="X12" i="5" s="1"/>
  <c r="Y12" i="5" s="1"/>
  <c r="Z12" i="5" s="1"/>
  <c r="K13" i="5"/>
  <c r="K48" i="5" s="1"/>
  <c r="U13" i="5"/>
  <c r="N37" i="5" s="1"/>
  <c r="K14" i="5"/>
  <c r="L20" i="5"/>
  <c r="K15" i="5"/>
  <c r="L87" i="5"/>
  <c r="K16" i="5"/>
  <c r="K17" i="5"/>
  <c r="P17" i="5" s="1"/>
  <c r="K18" i="5"/>
  <c r="K19" i="5"/>
  <c r="K20" i="5"/>
  <c r="K21" i="5"/>
  <c r="K22" i="5"/>
  <c r="C25" i="5"/>
  <c r="C66" i="5" s="1"/>
  <c r="C26" i="5"/>
  <c r="C67" i="5" s="1"/>
  <c r="K26" i="5"/>
  <c r="C27" i="5"/>
  <c r="C68" i="5" s="1"/>
  <c r="K27" i="5"/>
  <c r="C28" i="5"/>
  <c r="C69" i="5" s="1"/>
  <c r="K28" i="5"/>
  <c r="C29" i="5"/>
  <c r="C70" i="5" s="1"/>
  <c r="K29" i="5"/>
  <c r="C30" i="5"/>
  <c r="C71" i="5" s="1"/>
  <c r="K30" i="5"/>
  <c r="K37" i="5"/>
  <c r="K38" i="5"/>
  <c r="K44" i="5"/>
  <c r="K45" i="5"/>
  <c r="B52" i="5"/>
  <c r="C52" i="5"/>
  <c r="N52" i="5" s="1"/>
  <c r="B53" i="5"/>
  <c r="J53" i="5"/>
  <c r="C53" i="5"/>
  <c r="O53" i="5"/>
  <c r="B54" i="5"/>
  <c r="J54" i="5" s="1"/>
  <c r="C54" i="5"/>
  <c r="K54" i="5" s="1"/>
  <c r="B55" i="5"/>
  <c r="J55" i="5"/>
  <c r="C55" i="5"/>
  <c r="K55" i="5"/>
  <c r="B56" i="5"/>
  <c r="J56" i="5" s="1"/>
  <c r="C56" i="5"/>
  <c r="N56" i="5" s="1"/>
  <c r="B57" i="5"/>
  <c r="C57" i="5"/>
  <c r="O57" i="5" s="1"/>
  <c r="J57" i="5"/>
  <c r="B58" i="5"/>
  <c r="J58" i="5" s="1"/>
  <c r="C58" i="5"/>
  <c r="M58" i="5" s="1"/>
  <c r="B59" i="5"/>
  <c r="J59" i="5"/>
  <c r="C59" i="5"/>
  <c r="O59" i="5"/>
  <c r="K59" i="5"/>
  <c r="B60" i="5"/>
  <c r="J60" i="5"/>
  <c r="C60" i="5"/>
  <c r="N60" i="5" s="1"/>
  <c r="M60" i="5"/>
  <c r="B61" i="5"/>
  <c r="J61" i="5"/>
  <c r="C61" i="5"/>
  <c r="O61" i="5" s="1"/>
  <c r="B62" i="5"/>
  <c r="J62" i="5" s="1"/>
  <c r="C62" i="5"/>
  <c r="N62" i="5"/>
  <c r="B66" i="5"/>
  <c r="J66" i="5"/>
  <c r="B67" i="5"/>
  <c r="J67" i="5" s="1"/>
  <c r="B68" i="5"/>
  <c r="J68" i="5" s="1"/>
  <c r="B69" i="5"/>
  <c r="J69" i="5"/>
  <c r="B70" i="5"/>
  <c r="J70" i="5"/>
  <c r="B71" i="5"/>
  <c r="J71" i="5" s="1"/>
  <c r="M83" i="5"/>
  <c r="P83" i="5" s="1"/>
  <c r="O83" i="5"/>
  <c r="O85" i="5"/>
  <c r="L84" i="5"/>
  <c r="L85" i="5" s="1"/>
  <c r="O84" i="5"/>
  <c r="K85" i="5"/>
  <c r="M87" i="5"/>
  <c r="O88" i="5"/>
  <c r="L90" i="5"/>
  <c r="P90" i="5" s="1"/>
  <c r="N90" i="5"/>
  <c r="K91" i="5"/>
  <c r="N94" i="5"/>
  <c r="N98" i="5" s="1"/>
  <c r="M95" i="5"/>
  <c r="L96" i="5"/>
  <c r="M96" i="5"/>
  <c r="O96" i="5"/>
  <c r="P96" i="5" s="1"/>
  <c r="N97" i="5"/>
  <c r="K98" i="5"/>
  <c r="M103" i="5"/>
  <c r="P103" i="5" s="1"/>
  <c r="O103" i="5"/>
  <c r="N104" i="5"/>
  <c r="M105" i="5"/>
  <c r="O105" i="5"/>
  <c r="M106" i="5"/>
  <c r="K107" i="5"/>
  <c r="M110" i="5"/>
  <c r="M111" i="5" s="1"/>
  <c r="N110" i="5"/>
  <c r="N111" i="5" s="1"/>
  <c r="K111" i="5"/>
  <c r="O114" i="5"/>
  <c r="M115" i="5"/>
  <c r="N115" i="5"/>
  <c r="N116" i="5" s="1"/>
  <c r="K116" i="5"/>
  <c r="L119" i="5"/>
  <c r="L120" i="5" s="1"/>
  <c r="M119" i="5"/>
  <c r="M120" i="5"/>
  <c r="N119" i="5"/>
  <c r="N120" i="5" s="1"/>
  <c r="O119" i="5"/>
  <c r="O120" i="5" s="1"/>
  <c r="K120" i="5"/>
  <c r="P125" i="5"/>
  <c r="Q126" i="5" s="1"/>
  <c r="P126" i="5"/>
  <c r="P129" i="5"/>
  <c r="Q130" i="5" s="1"/>
  <c r="P130" i="5"/>
  <c r="P131" i="5"/>
  <c r="P132" i="5"/>
  <c r="P133" i="5"/>
  <c r="Q134" i="5" s="1"/>
  <c r="P134" i="5"/>
  <c r="P135" i="5"/>
  <c r="P136" i="5"/>
  <c r="K137" i="5"/>
  <c r="P137" i="5" s="1"/>
  <c r="Q138" i="5" s="1"/>
  <c r="L137" i="5"/>
  <c r="L141" i="5" s="1"/>
  <c r="M137" i="5"/>
  <c r="M141" i="5" s="1"/>
  <c r="N137" i="5"/>
  <c r="O137" i="5"/>
  <c r="O141" i="5" s="1"/>
  <c r="K138" i="5"/>
  <c r="L138" i="5"/>
  <c r="M138" i="5"/>
  <c r="N138" i="5"/>
  <c r="O138" i="5"/>
  <c r="M149" i="5"/>
  <c r="L154" i="5"/>
  <c r="O154" i="5"/>
  <c r="N155" i="5"/>
  <c r="N156" i="5" s="1"/>
  <c r="O155" i="5"/>
  <c r="O156" i="5"/>
  <c r="K156" i="5"/>
  <c r="K173" i="5"/>
  <c r="L173" i="5"/>
  <c r="M173" i="5"/>
  <c r="K184" i="5"/>
  <c r="K185" i="5"/>
  <c r="K186" i="5"/>
  <c r="K187" i="5"/>
  <c r="K188" i="5"/>
  <c r="K190" i="5"/>
  <c r="K192" i="5"/>
  <c r="C207" i="5"/>
  <c r="C208" i="5"/>
  <c r="C209" i="5"/>
  <c r="C210" i="5"/>
  <c r="C211" i="5"/>
  <c r="C212" i="5"/>
  <c r="A10" i="6"/>
  <c r="B10" i="6" s="1"/>
  <c r="J9" i="6" s="1"/>
  <c r="J10" i="6" s="1"/>
  <c r="D10" i="6"/>
  <c r="E10" i="6"/>
  <c r="K9" i="6"/>
  <c r="K10" i="6" s="1"/>
  <c r="G10" i="6"/>
  <c r="H10" i="6" s="1"/>
  <c r="L9" i="6" s="1"/>
  <c r="L10" i="6" s="1"/>
  <c r="J20" i="6"/>
  <c r="J21" i="6"/>
  <c r="K20" i="6"/>
  <c r="K21" i="6" s="1"/>
  <c r="L20" i="6"/>
  <c r="L21" i="6"/>
  <c r="B21" i="6"/>
  <c r="E21" i="6"/>
  <c r="H21" i="6"/>
  <c r="D3" i="7"/>
  <c r="F3" i="7"/>
  <c r="C5" i="7"/>
  <c r="C12" i="7" s="1"/>
  <c r="C10" i="7"/>
  <c r="C11" i="7"/>
  <c r="C16" i="9"/>
  <c r="D16" i="9"/>
  <c r="E16" i="9"/>
  <c r="F16" i="9"/>
  <c r="C17" i="9"/>
  <c r="D17" i="9"/>
  <c r="E17" i="9"/>
  <c r="F17" i="9"/>
  <c r="C18" i="9"/>
  <c r="D18" i="9"/>
  <c r="E18" i="9"/>
  <c r="F18" i="9"/>
  <c r="C19" i="9"/>
  <c r="D19" i="9"/>
  <c r="E19" i="9"/>
  <c r="F19" i="9"/>
  <c r="C20" i="9"/>
  <c r="D20" i="9"/>
  <c r="E20" i="9"/>
  <c r="F20" i="9"/>
  <c r="C21" i="9"/>
  <c r="D21" i="9"/>
  <c r="E21" i="9"/>
  <c r="F21" i="9"/>
  <c r="C22" i="9"/>
  <c r="D22" i="9"/>
  <c r="E22" i="9"/>
  <c r="F22" i="9"/>
  <c r="C23" i="9"/>
  <c r="D23" i="9"/>
  <c r="E23" i="9"/>
  <c r="F23" i="9"/>
  <c r="B24" i="9"/>
  <c r="B25" i="9" s="1"/>
  <c r="K25" i="5"/>
  <c r="P25" i="5" s="1"/>
  <c r="N140" i="5"/>
  <c r="N162" i="5" s="1"/>
  <c r="N139" i="5"/>
  <c r="M139" i="5"/>
  <c r="M140" i="5"/>
  <c r="M162" i="5"/>
  <c r="M167" i="5"/>
  <c r="O140" i="5"/>
  <c r="O167" i="5"/>
  <c r="O139" i="5"/>
  <c r="L139" i="5"/>
  <c r="J52" i="5"/>
  <c r="L140" i="5"/>
  <c r="L167" i="5"/>
  <c r="N87" i="5"/>
  <c r="N91" i="5" s="1"/>
  <c r="N83" i="5"/>
  <c r="L88" i="5"/>
  <c r="L89" i="5"/>
  <c r="O87" i="5"/>
  <c r="M88" i="5"/>
  <c r="M89" i="5"/>
  <c r="M90" i="5"/>
  <c r="M91" i="5" s="1"/>
  <c r="K60" i="5"/>
  <c r="L60" i="5"/>
  <c r="L14" i="5"/>
  <c r="O20" i="5"/>
  <c r="O14" i="5"/>
  <c r="K61" i="5"/>
  <c r="L61" i="5"/>
  <c r="N173" i="5"/>
  <c r="P127" i="5"/>
  <c r="O173" i="5"/>
  <c r="K139" i="5"/>
  <c r="P139" i="5" s="1"/>
  <c r="K140" i="5"/>
  <c r="N181" i="5"/>
  <c r="L181" i="5"/>
  <c r="O181" i="5"/>
  <c r="M181" i="5"/>
  <c r="K181" i="5"/>
  <c r="P181" i="5"/>
  <c r="P192" i="5" s="1"/>
  <c r="P128" i="5"/>
  <c r="K162" i="5"/>
  <c r="O162" i="5"/>
  <c r="N167" i="5"/>
  <c r="P167" i="5" s="1"/>
  <c r="M155" i="5"/>
  <c r="O149" i="5"/>
  <c r="P149" i="5" s="1"/>
  <c r="O110" i="5"/>
  <c r="O111" i="5" s="1"/>
  <c r="O106" i="5"/>
  <c r="L105" i="5"/>
  <c r="N103" i="5"/>
  <c r="M97" i="5"/>
  <c r="O95" i="5"/>
  <c r="O98" i="5" s="1"/>
  <c r="O89" i="5"/>
  <c r="O91" i="5" s="1"/>
  <c r="N84" i="5"/>
  <c r="L83" i="5"/>
  <c r="L155" i="5"/>
  <c r="L156" i="5"/>
  <c r="N149" i="5"/>
  <c r="O115" i="5"/>
  <c r="O116" i="5"/>
  <c r="N114" i="5"/>
  <c r="N106" i="5"/>
  <c r="O104" i="5"/>
  <c r="O107" i="5" s="1"/>
  <c r="L97" i="5"/>
  <c r="P97" i="5" s="1"/>
  <c r="N95" i="5"/>
  <c r="M94" i="5"/>
  <c r="P94" i="5" s="1"/>
  <c r="N89" i="5"/>
  <c r="P89" i="5" s="1"/>
  <c r="M84" i="5"/>
  <c r="L54" i="5"/>
  <c r="L44" i="5"/>
  <c r="O45" i="5"/>
  <c r="M38" i="5"/>
  <c r="N154" i="5"/>
  <c r="L149" i="5"/>
  <c r="M114" i="5"/>
  <c r="M116" i="5"/>
  <c r="L106" i="5"/>
  <c r="M104" i="5"/>
  <c r="M107" i="5"/>
  <c r="L103" i="5"/>
  <c r="N96" i="5"/>
  <c r="L95" i="5"/>
  <c r="P95" i="5" s="1"/>
  <c r="L94" i="5"/>
  <c r="L98" i="5" s="1"/>
  <c r="N88" i="5"/>
  <c r="P88" i="5"/>
  <c r="O38" i="5"/>
  <c r="M154" i="5"/>
  <c r="P154" i="5" s="1"/>
  <c r="L115" i="5"/>
  <c r="P115" i="5" s="1"/>
  <c r="L114" i="5"/>
  <c r="P114" i="5" s="1"/>
  <c r="L110" i="5"/>
  <c r="L111" i="5"/>
  <c r="P111" i="5" s="1"/>
  <c r="N105" i="5"/>
  <c r="N107" i="5" s="1"/>
  <c r="P107" i="5" s="1"/>
  <c r="P105" i="5"/>
  <c r="L104" i="5"/>
  <c r="P104" i="5" s="1"/>
  <c r="O97" i="5"/>
  <c r="O94" i="5"/>
  <c r="O90" i="5"/>
  <c r="L45" i="5"/>
  <c r="N54" i="5"/>
  <c r="M54" i="5"/>
  <c r="M53" i="5"/>
  <c r="M27" i="5"/>
  <c r="N22" i="5"/>
  <c r="O19" i="5"/>
  <c r="O12" i="5"/>
  <c r="M15" i="5"/>
  <c r="L26" i="5"/>
  <c r="M21" i="5"/>
  <c r="M28" i="5"/>
  <c r="N28" i="5"/>
  <c r="M18" i="5"/>
  <c r="L30" i="5"/>
  <c r="P30" i="5" s="1"/>
  <c r="K58" i="5"/>
  <c r="N29" i="5"/>
  <c r="M17" i="5"/>
  <c r="L12" i="5"/>
  <c r="O29" i="5"/>
  <c r="O30" i="5"/>
  <c r="M19" i="5"/>
  <c r="L29" i="5"/>
  <c r="N15" i="5"/>
  <c r="O21" i="5"/>
  <c r="L25" i="5"/>
  <c r="N58" i="5"/>
  <c r="O28" i="5"/>
  <c r="N17" i="5"/>
  <c r="N18" i="5"/>
  <c r="M25" i="5"/>
  <c r="L22" i="5"/>
  <c r="M14" i="5"/>
  <c r="P14" i="5"/>
  <c r="M20" i="5"/>
  <c r="N25" i="5"/>
  <c r="O22" i="5"/>
  <c r="L17" i="5"/>
  <c r="O13" i="5"/>
  <c r="O27" i="5"/>
  <c r="P27" i="5" s="1"/>
  <c r="K56" i="5"/>
  <c r="L33" i="5"/>
  <c r="M33" i="5"/>
  <c r="N33" i="5" s="1"/>
  <c r="N19" i="5"/>
  <c r="N12" i="5"/>
  <c r="O17" i="5"/>
  <c r="O25" i="5"/>
  <c r="O58" i="5"/>
  <c r="L58" i="5"/>
  <c r="N13" i="5"/>
  <c r="N30" i="5"/>
  <c r="L18" i="5"/>
  <c r="P18" i="5" s="1"/>
  <c r="O26" i="5"/>
  <c r="M16" i="5"/>
  <c r="P16" i="5" s="1"/>
  <c r="O54" i="5"/>
  <c r="N27" i="5"/>
  <c r="N21" i="5"/>
  <c r="M13" i="5"/>
  <c r="O56" i="5"/>
  <c r="O18" i="5"/>
  <c r="M29" i="5"/>
  <c r="P29" i="5" s="1"/>
  <c r="O15" i="5"/>
  <c r="N20" i="5"/>
  <c r="M56" i="5"/>
  <c r="L27" i="5"/>
  <c r="L21" i="5"/>
  <c r="M30" i="5"/>
  <c r="N26" i="5"/>
  <c r="L16" i="5"/>
  <c r="K167" i="5"/>
  <c r="L28" i="5"/>
  <c r="P28" i="5"/>
  <c r="N14" i="5"/>
  <c r="L19" i="5"/>
  <c r="P19" i="5" s="1"/>
  <c r="L15" i="5"/>
  <c r="P15" i="5" s="1"/>
  <c r="L56" i="5"/>
  <c r="L32" i="5"/>
  <c r="M32" i="5"/>
  <c r="O16" i="5"/>
  <c r="M26" i="5"/>
  <c r="P26" i="5" s="1"/>
  <c r="M22" i="5"/>
  <c r="P22" i="5"/>
  <c r="L13" i="5"/>
  <c r="N16" i="5"/>
  <c r="M12" i="5"/>
  <c r="C203" i="5"/>
  <c r="G19" i="9"/>
  <c r="P138" i="5"/>
  <c r="P20" i="5"/>
  <c r="L52" i="5"/>
  <c r="P84" i="5"/>
  <c r="L107" i="5"/>
  <c r="N141" i="5"/>
  <c r="P21" i="5"/>
  <c r="N85" i="5"/>
  <c r="O62" i="5"/>
  <c r="M55" i="5"/>
  <c r="M52" i="5"/>
  <c r="P12" i="5"/>
  <c r="K52" i="5"/>
  <c r="P106" i="5"/>
  <c r="M62" i="5"/>
  <c r="K57" i="5"/>
  <c r="N55" i="5"/>
  <c r="K62" i="5"/>
  <c r="O52" i="5"/>
  <c r="P119" i="5"/>
  <c r="L62" i="5"/>
  <c r="O60" i="5"/>
  <c r="K141" i="5"/>
  <c r="N53" i="5"/>
  <c r="N59" i="5"/>
  <c r="L53" i="5"/>
  <c r="O55" i="5"/>
  <c r="L57" i="5"/>
  <c r="M59" i="5"/>
  <c r="L59" i="5"/>
  <c r="M156" i="5"/>
  <c r="L55" i="5"/>
  <c r="K53" i="5"/>
  <c r="L162" i="5"/>
  <c r="N32" i="5"/>
  <c r="O32" i="5"/>
  <c r="P32" i="5"/>
  <c r="C24" i="9" l="1"/>
  <c r="C25" i="9" s="1"/>
  <c r="U7" i="5"/>
  <c r="V7" i="5" s="1"/>
  <c r="W7" i="5" s="1"/>
  <c r="X7" i="5" s="1"/>
  <c r="Y7" i="5" s="1"/>
  <c r="Z7" i="5" s="1"/>
  <c r="U10" i="5"/>
  <c r="V10" i="5" s="1"/>
  <c r="L145" i="5" s="1"/>
  <c r="U11" i="5"/>
  <c r="V11" i="5" s="1"/>
  <c r="W11" i="5" s="1"/>
  <c r="X11" i="5" s="1"/>
  <c r="Y11" i="5" s="1"/>
  <c r="Z11" i="5" s="1"/>
  <c r="U6" i="5"/>
  <c r="V6" i="5" s="1"/>
  <c r="W6" i="5" s="1"/>
  <c r="X6" i="5" s="1"/>
  <c r="G20" i="9"/>
  <c r="I19" i="9"/>
  <c r="C29" i="9" s="1"/>
  <c r="O66" i="5"/>
  <c r="L66" i="5"/>
  <c r="K66" i="5"/>
  <c r="M66" i="5"/>
  <c r="N66" i="5"/>
  <c r="P120" i="5"/>
  <c r="M70" i="5"/>
  <c r="O70" i="5"/>
  <c r="K70" i="5"/>
  <c r="N70" i="5"/>
  <c r="L70" i="5"/>
  <c r="M69" i="5"/>
  <c r="L69" i="5"/>
  <c r="N69" i="5"/>
  <c r="K69" i="5"/>
  <c r="O69" i="5"/>
  <c r="L67" i="5"/>
  <c r="K67" i="5"/>
  <c r="M67" i="5"/>
  <c r="O67" i="5"/>
  <c r="N67" i="5"/>
  <c r="O33" i="5"/>
  <c r="P33" i="5" s="1"/>
  <c r="K71" i="5"/>
  <c r="L71" i="5"/>
  <c r="O71" i="5"/>
  <c r="N71" i="5"/>
  <c r="M71" i="5"/>
  <c r="P141" i="5"/>
  <c r="K68" i="5"/>
  <c r="N68" i="5"/>
  <c r="L68" i="5"/>
  <c r="M68" i="5"/>
  <c r="O68" i="5"/>
  <c r="P162" i="5"/>
  <c r="P187" i="5" s="1"/>
  <c r="D17" i="7"/>
  <c r="D20" i="7" s="1"/>
  <c r="E17" i="7"/>
  <c r="E20" i="7" s="1"/>
  <c r="H17" i="7"/>
  <c r="H20" i="7" s="1"/>
  <c r="G17" i="7"/>
  <c r="G20" i="7" s="1"/>
  <c r="C13" i="7"/>
  <c r="F17" i="7"/>
  <c r="F20" i="7" s="1"/>
  <c r="P156" i="5"/>
  <c r="M6" i="5"/>
  <c r="P140" i="5"/>
  <c r="P110" i="5"/>
  <c r="L38" i="5"/>
  <c r="P38" i="5" s="1"/>
  <c r="O44" i="5"/>
  <c r="N57" i="5"/>
  <c r="P57" i="5" s="1"/>
  <c r="P155" i="5"/>
  <c r="L91" i="5"/>
  <c r="P91" i="5" s="1"/>
  <c r="O37" i="5"/>
  <c r="L37" i="5"/>
  <c r="P87" i="5"/>
  <c r="M98" i="5"/>
  <c r="P98" i="5" s="1"/>
  <c r="M48" i="5"/>
  <c r="H13" i="9"/>
  <c r="H23" i="9" s="1"/>
  <c r="I23" i="9" s="1"/>
  <c r="M45" i="5"/>
  <c r="M85" i="5"/>
  <c r="P85" i="5" s="1"/>
  <c r="M44" i="5"/>
  <c r="P44" i="5" s="1"/>
  <c r="M57" i="5"/>
  <c r="M37" i="5"/>
  <c r="C204" i="5"/>
  <c r="L116" i="5"/>
  <c r="P116" i="5" s="1"/>
  <c r="P13" i="5"/>
  <c r="N44" i="5"/>
  <c r="N61" i="5"/>
  <c r="N38" i="5"/>
  <c r="N48" i="5" s="1"/>
  <c r="I18" i="9"/>
  <c r="C28" i="9" s="1"/>
  <c r="N45" i="5"/>
  <c r="M61" i="5"/>
  <c r="H12" i="9"/>
  <c r="H22" i="9" s="1"/>
  <c r="I22" i="9" s="1"/>
  <c r="G21" i="9"/>
  <c r="I21" i="9" s="1"/>
  <c r="I20" i="9"/>
  <c r="I17" i="9"/>
  <c r="H6" i="9"/>
  <c r="H16" i="9" s="1"/>
  <c r="I16" i="9" s="1"/>
  <c r="B26" i="9" s="1"/>
  <c r="C27" i="9"/>
  <c r="B27" i="9"/>
  <c r="C30" i="9"/>
  <c r="B30" i="9"/>
  <c r="P58" i="5"/>
  <c r="P62" i="5"/>
  <c r="P60" i="5"/>
  <c r="P59" i="5"/>
  <c r="P53" i="5"/>
  <c r="P55" i="5"/>
  <c r="P52" i="5"/>
  <c r="P56" i="5"/>
  <c r="P54" i="5"/>
  <c r="L146" i="5" l="1"/>
  <c r="W10" i="5"/>
  <c r="K146" i="5"/>
  <c r="K145" i="5"/>
  <c r="K147" i="5" s="1"/>
  <c r="K151" i="5" s="1"/>
  <c r="K158" i="5" s="1"/>
  <c r="P68" i="5"/>
  <c r="P69" i="5"/>
  <c r="B29" i="9"/>
  <c r="P66" i="5"/>
  <c r="B28" i="9"/>
  <c r="P71" i="5"/>
  <c r="P67" i="5"/>
  <c r="C26" i="9"/>
  <c r="P70" i="5"/>
  <c r="P61" i="5"/>
  <c r="C32" i="9"/>
  <c r="B32" i="9"/>
  <c r="C33" i="9"/>
  <c r="L74" i="5" s="1"/>
  <c r="B33" i="9"/>
  <c r="K73" i="5" s="1"/>
  <c r="G18" i="7"/>
  <c r="G22" i="7" s="1"/>
  <c r="H18" i="7"/>
  <c r="H22" i="7" s="1"/>
  <c r="F18" i="7"/>
  <c r="F22" i="7" s="1"/>
  <c r="E18" i="7"/>
  <c r="E22" i="7" s="1"/>
  <c r="D18" i="7"/>
  <c r="D22" i="7" s="1"/>
  <c r="P37" i="5"/>
  <c r="N6" i="5"/>
  <c r="N5" i="5"/>
  <c r="D24" i="9"/>
  <c r="L48" i="5"/>
  <c r="P45" i="5"/>
  <c r="O48" i="5"/>
  <c r="C31" i="9"/>
  <c r="B31" i="9"/>
  <c r="Y6" i="5"/>
  <c r="L147" i="5"/>
  <c r="M146" i="5"/>
  <c r="M145" i="5"/>
  <c r="X10" i="5"/>
  <c r="J74" i="5" l="1"/>
  <c r="J73" i="5"/>
  <c r="J76" i="5"/>
  <c r="K76" i="5"/>
  <c r="K74" i="5"/>
  <c r="M147" i="5"/>
  <c r="M151" i="5" s="1"/>
  <c r="M158" i="5" s="1"/>
  <c r="P48" i="5"/>
  <c r="D25" i="9"/>
  <c r="D31" i="9" s="1"/>
  <c r="D28" i="9"/>
  <c r="D30" i="9"/>
  <c r="D26" i="9"/>
  <c r="D29" i="9"/>
  <c r="D33" i="9"/>
  <c r="D27" i="9"/>
  <c r="O6" i="5"/>
  <c r="F24" i="9" s="1"/>
  <c r="E24" i="9"/>
  <c r="O5" i="5"/>
  <c r="L73" i="5"/>
  <c r="L76" i="5"/>
  <c r="N145" i="5"/>
  <c r="N146" i="5"/>
  <c r="Y10" i="5"/>
  <c r="L151" i="5"/>
  <c r="Z6" i="5"/>
  <c r="K77" i="5" l="1"/>
  <c r="K79" i="5" s="1"/>
  <c r="K161" i="5" s="1"/>
  <c r="K163" i="5" s="1"/>
  <c r="L77" i="5"/>
  <c r="L79" i="5" s="1"/>
  <c r="M73" i="5"/>
  <c r="M74" i="5"/>
  <c r="M76" i="5"/>
  <c r="E25" i="9"/>
  <c r="E32" i="9" s="1"/>
  <c r="E28" i="9"/>
  <c r="E30" i="9"/>
  <c r="E26" i="9"/>
  <c r="E27" i="9"/>
  <c r="E31" i="9"/>
  <c r="F25" i="9"/>
  <c r="F28" i="9" s="1"/>
  <c r="F32" i="9"/>
  <c r="F33" i="9"/>
  <c r="F29" i="9"/>
  <c r="F31" i="9"/>
  <c r="D32" i="9"/>
  <c r="N147" i="5"/>
  <c r="N151" i="5" s="1"/>
  <c r="N158" i="5" s="1"/>
  <c r="O146" i="5"/>
  <c r="P146" i="5" s="1"/>
  <c r="O145" i="5"/>
  <c r="O147" i="5" s="1"/>
  <c r="O151" i="5" s="1"/>
  <c r="O158" i="5" s="1"/>
  <c r="Z10" i="5"/>
  <c r="L158" i="5"/>
  <c r="F30" i="9" l="1"/>
  <c r="F26" i="9"/>
  <c r="P145" i="5"/>
  <c r="O74" i="5"/>
  <c r="O73" i="5"/>
  <c r="O76" i="5"/>
  <c r="E33" i="9"/>
  <c r="P151" i="5"/>
  <c r="E29" i="9"/>
  <c r="M77" i="5"/>
  <c r="F27" i="9"/>
  <c r="P147" i="5"/>
  <c r="L161" i="5"/>
  <c r="P158" i="5"/>
  <c r="O77" i="5" l="1"/>
  <c r="O79" i="5" s="1"/>
  <c r="O161" i="5" s="1"/>
  <c r="O163" i="5" s="1"/>
  <c r="N73" i="5"/>
  <c r="P73" i="5" s="1"/>
  <c r="N76" i="5"/>
  <c r="N74" i="5"/>
  <c r="P74" i="5" s="1"/>
  <c r="M79" i="5"/>
  <c r="L163" i="5"/>
  <c r="M161" i="5" l="1"/>
  <c r="N77" i="5"/>
  <c r="P76" i="5"/>
  <c r="M163" i="5" l="1"/>
  <c r="N79" i="5"/>
  <c r="P77" i="5"/>
  <c r="N161" i="5" l="1"/>
  <c r="P79" i="5"/>
  <c r="N163" i="5" l="1"/>
  <c r="P163" i="5" s="1"/>
  <c r="P185" i="5" s="1"/>
  <c r="P196" i="5" s="1"/>
  <c r="P200" i="5" s="1"/>
  <c r="P161" i="5"/>
  <c r="P184" i="5" s="1"/>
  <c r="M166" i="5" l="1"/>
  <c r="M168" i="5" s="1"/>
  <c r="M171" i="5" s="1"/>
  <c r="M177" i="5" s="1"/>
  <c r="N166" i="5"/>
  <c r="N168" i="5" s="1"/>
  <c r="N171" i="5" s="1"/>
  <c r="N177" i="5" s="1"/>
  <c r="L166" i="5"/>
  <c r="L168" i="5" s="1"/>
  <c r="L171" i="5" s="1"/>
  <c r="L177" i="5" s="1"/>
  <c r="O166" i="5"/>
  <c r="O168" i="5" s="1"/>
  <c r="O171" i="5" s="1"/>
  <c r="O177" i="5" s="1"/>
  <c r="K166" i="5"/>
  <c r="Q200" i="5"/>
  <c r="P166" i="5" l="1"/>
  <c r="P186" i="5" s="1"/>
  <c r="K168" i="5"/>
  <c r="P168" i="5" l="1"/>
  <c r="P188" i="5" s="1"/>
  <c r="K171" i="5"/>
  <c r="P171" i="5" l="1"/>
  <c r="K177" i="5"/>
  <c r="P177" i="5" s="1"/>
  <c r="P190"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 Bennett</author>
    <author>lkemler</author>
    <author>knowu</author>
  </authors>
  <commentList>
    <comment ref="A1" authorId="0" shapeId="0" xr:uid="{B21D9286-7A9E-4891-9D75-8ED1D7FB542A}">
      <text>
        <r>
          <rPr>
            <sz val="9"/>
            <color indexed="81"/>
            <rFont val="Tahoma"/>
            <family val="2"/>
          </rPr>
          <t xml:space="preserve">Enter a whole number, 1, 2, 3, 4, or 5, in cell A1, for the number of project years (even if one of the budget periods is more or less than a twelve month period).  </t>
        </r>
      </text>
    </comment>
    <comment ref="K5" authorId="0" shapeId="0" xr:uid="{42E2E84B-0504-4BAF-B5B0-B72851CDA62B}">
      <text>
        <r>
          <rPr>
            <b/>
            <sz val="9"/>
            <color indexed="81"/>
            <rFont val="Tahoma"/>
            <family val="2"/>
          </rPr>
          <t>Enter the Start Date of the project (The same Start Date should also be entered in the EPCS record).</t>
        </r>
        <r>
          <rPr>
            <sz val="9"/>
            <color indexed="81"/>
            <rFont val="Tahoma"/>
            <family val="2"/>
          </rPr>
          <t xml:space="preserve">
</t>
        </r>
      </text>
    </comment>
    <comment ref="C11" authorId="0" shapeId="0" xr:uid="{A642F936-547A-4AD0-9D63-74B659CAD6CE}">
      <text>
        <r>
          <rPr>
            <b/>
            <sz val="9"/>
            <color indexed="81"/>
            <rFont val="Tahoma"/>
            <family val="2"/>
          </rPr>
          <t>Select Eclass type from drop down list below.</t>
        </r>
        <r>
          <rPr>
            <sz val="9"/>
            <color indexed="81"/>
            <rFont val="Tahoma"/>
            <family val="2"/>
          </rPr>
          <t xml:space="preserve">
</t>
        </r>
      </text>
    </comment>
    <comment ref="D11" authorId="1" shapeId="0" xr:uid="{CAA96491-211D-4C5B-9606-813BA68C8467}">
      <text>
        <r>
          <rPr>
            <sz val="8"/>
            <color indexed="81"/>
            <rFont val="Tahoma"/>
            <family val="2"/>
          </rPr>
          <t>Input base salary here for AY 9-mo. and 12-mo. Appointments. Enter % in next column to automatically calculate salary expense.</t>
        </r>
      </text>
    </comment>
    <comment ref="E11" authorId="1" shapeId="0" xr:uid="{424A10E3-FC4A-4636-9370-D64BE21404EF}">
      <text>
        <r>
          <rPr>
            <sz val="8"/>
            <color indexed="81"/>
            <rFont val="Tahoma"/>
            <family val="2"/>
          </rPr>
          <t>Salary expense will  automatically calculate with % entered (as a decimal) here.</t>
        </r>
      </text>
    </comment>
    <comment ref="F11" authorId="1" shapeId="0" xr:uid="{29F3FBC3-BE91-4CCF-9B14-1193B6B10A61}">
      <text>
        <r>
          <rPr>
            <sz val="8"/>
            <color indexed="81"/>
            <rFont val="Tahoma"/>
            <family val="2"/>
          </rPr>
          <t>Salary expense will  automatically calculate with % entered (as a decimal) here.</t>
        </r>
      </text>
    </comment>
    <comment ref="G11" authorId="1" shapeId="0" xr:uid="{045E3498-85DF-4045-A3D8-977A8396E5EC}">
      <text>
        <r>
          <rPr>
            <sz val="8"/>
            <color indexed="81"/>
            <rFont val="Tahoma"/>
            <family val="2"/>
          </rPr>
          <t>Salary expense will  automatically calculate with % entered (as a decimal) here.</t>
        </r>
      </text>
    </comment>
    <comment ref="H11" authorId="1" shapeId="0" xr:uid="{DDDB0723-E98F-4817-B861-9F8235E7B936}">
      <text>
        <r>
          <rPr>
            <sz val="8"/>
            <color indexed="81"/>
            <rFont val="Tahoma"/>
            <family val="2"/>
          </rPr>
          <t>Salary expense will  automatically calculate with % entered (as a decimal) here.</t>
        </r>
      </text>
    </comment>
    <comment ref="I11" authorId="1" shapeId="0" xr:uid="{D986F24D-0681-4905-B69C-F2E5E6E99647}">
      <text>
        <r>
          <rPr>
            <sz val="8"/>
            <color indexed="81"/>
            <rFont val="Tahoma"/>
            <family val="2"/>
          </rPr>
          <t>Salary expense will  automatically calculate with % entered (as a decimal) here.</t>
        </r>
      </text>
    </comment>
    <comment ref="U11" authorId="0" shapeId="0" xr:uid="{785B6E42-B7B6-4E1B-B5AF-8843341230D0}">
      <text>
        <r>
          <rPr>
            <sz val="9"/>
            <color indexed="81"/>
            <rFont val="Tahoma"/>
            <family val="2"/>
          </rPr>
          <t xml:space="preserve">Enter for out-of-state graduate trainees on training grants or fellowships (formula in tuition area of budget must also be changed)
</t>
        </r>
      </text>
    </comment>
    <comment ref="AE11" authorId="0" shapeId="0" xr:uid="{2FB70F14-3361-419F-A0F4-90B6C4745C04}">
      <text>
        <r>
          <rPr>
            <sz val="9"/>
            <color indexed="81"/>
            <rFont val="Tahoma"/>
            <family val="2"/>
          </rPr>
          <t xml:space="preserve">Enter for out-of-state graduate trainees on training grants or fellowships (formula in tuition area of budget must also be changed)
</t>
        </r>
      </text>
    </comment>
    <comment ref="U12" authorId="0" shapeId="0" xr:uid="{5D42FD87-AE89-468E-B913-527F2BF05C2A}">
      <text>
        <r>
          <rPr>
            <sz val="9"/>
            <color indexed="81"/>
            <rFont val="Tahoma"/>
            <family val="2"/>
          </rPr>
          <t xml:space="preserve">Enter Tuition Rate for UO College if applicable to application (formula in tuition area of budget must also be changed)
</t>
        </r>
      </text>
    </comment>
    <comment ref="AE12" authorId="0" shapeId="0" xr:uid="{BE114625-134A-4837-A72D-BFD5E64FA5D4}">
      <text>
        <r>
          <rPr>
            <sz val="9"/>
            <color indexed="81"/>
            <rFont val="Tahoma"/>
            <family val="2"/>
          </rPr>
          <t xml:space="preserve">Enter Tuition Rate for UO College if applicable to application (formula in tuition area of budget must also be changed)
</t>
        </r>
      </text>
    </comment>
    <comment ref="U13" authorId="0" shapeId="0" xr:uid="{A3EB1007-6F7D-49B0-9C74-3E3CB593C9A5}">
      <text>
        <r>
          <rPr>
            <sz val="9"/>
            <color indexed="81"/>
            <rFont val="Tahoma"/>
            <family val="2"/>
          </rPr>
          <t>If no COLA for all budget years, change this number to 1.0</t>
        </r>
        <r>
          <rPr>
            <sz val="9"/>
            <color indexed="81"/>
            <rFont val="Tahoma"/>
            <family val="2"/>
          </rPr>
          <t xml:space="preserve">
</t>
        </r>
      </text>
    </comment>
    <comment ref="U14" authorId="0" shapeId="0" xr:uid="{04E98649-BAE1-4E7C-B513-97C375DB9360}">
      <text>
        <r>
          <rPr>
            <sz val="9"/>
            <color indexed="81"/>
            <rFont val="Tahoma"/>
            <family val="2"/>
          </rPr>
          <t>If no COLA for all budget years, change this number to 1.0</t>
        </r>
        <r>
          <rPr>
            <sz val="9"/>
            <color indexed="81"/>
            <rFont val="Tahoma"/>
            <family val="2"/>
          </rPr>
          <t xml:space="preserve">
</t>
        </r>
      </text>
    </comment>
    <comment ref="U15" authorId="0" shapeId="0" xr:uid="{B2F1147E-B281-4862-9A63-9631199222CA}">
      <text>
        <r>
          <rPr>
            <sz val="9"/>
            <color indexed="81"/>
            <rFont val="Tahoma"/>
            <family val="2"/>
          </rPr>
          <t>If no COLA for all budget years, change this number to 1.0</t>
        </r>
        <r>
          <rPr>
            <sz val="9"/>
            <color indexed="81"/>
            <rFont val="Tahoma"/>
            <family val="2"/>
          </rPr>
          <t xml:space="preserve">
</t>
        </r>
      </text>
    </comment>
    <comment ref="D24" authorId="1" shapeId="0" xr:uid="{41B4E67A-DE23-4795-9DEC-721B4F48489E}">
      <text>
        <r>
          <rPr>
            <sz val="8"/>
            <color indexed="81"/>
            <rFont val="Tahoma"/>
            <family val="2"/>
          </rPr>
          <t>Use only for Faculty with 9-month appointments working on project in SU. Input SU base salary here (1/3 of AY salary). Enter % in next column to automatically calculate SU salary expense.</t>
        </r>
      </text>
    </comment>
    <comment ref="E24" authorId="1" shapeId="0" xr:uid="{C0B9FE7B-CF7A-4570-A052-E31104EA5DD7}">
      <text>
        <r>
          <rPr>
            <sz val="8"/>
            <color indexed="81"/>
            <rFont val="Tahoma"/>
            <family val="2"/>
          </rPr>
          <t>Salary expense will  automatically calculate with % in SU entered here (as a decimal, i.e., .3333 for one month SU).</t>
        </r>
      </text>
    </comment>
    <comment ref="F24" authorId="1" shapeId="0" xr:uid="{775548AF-7888-4768-BFF6-F840AB23B234}">
      <text>
        <r>
          <rPr>
            <sz val="8"/>
            <color indexed="81"/>
            <rFont val="Tahoma"/>
            <family val="2"/>
          </rPr>
          <t>Salary expense will  automatically calculate with % in SU entered here (as a decimal, i.e., .3333 for one month SU).</t>
        </r>
      </text>
    </comment>
    <comment ref="G24" authorId="1" shapeId="0" xr:uid="{865F753F-82C1-4636-BF8C-A3FFA1AA7014}">
      <text>
        <r>
          <rPr>
            <sz val="8"/>
            <color indexed="81"/>
            <rFont val="Tahoma"/>
            <family val="2"/>
          </rPr>
          <t>Salary expense will  automatically calculate with % in SU entered here (as a decimal, i.e., .3333 for one month SU).</t>
        </r>
      </text>
    </comment>
    <comment ref="H24" authorId="1" shapeId="0" xr:uid="{F33EDD06-81FD-44DC-B023-0E8159BED8D7}">
      <text>
        <r>
          <rPr>
            <sz val="8"/>
            <color indexed="81"/>
            <rFont val="Tahoma"/>
            <family val="2"/>
          </rPr>
          <t>Salary expense will  automatically calculate with % in SU entered here (as a decimal, i.e., .3333 for one month SU).</t>
        </r>
      </text>
    </comment>
    <comment ref="I24" authorId="1" shapeId="0" xr:uid="{153CD3D7-8FC3-4F40-A502-98F261327D34}">
      <text>
        <r>
          <rPr>
            <sz val="8"/>
            <color indexed="81"/>
            <rFont val="Tahoma"/>
            <family val="2"/>
          </rPr>
          <t>Salary expense will  automatically calculate with % in SU entered here (as a decimal, i.e., .3333 for one month SU).</t>
        </r>
      </text>
    </comment>
    <comment ref="D36" authorId="1" shapeId="0" xr:uid="{3694EC15-3BC8-4FE1-8880-5271160A4004}">
      <text>
        <r>
          <rPr>
            <sz val="8"/>
            <color indexed="81"/>
            <rFont val="Tahoma"/>
            <family val="2"/>
          </rPr>
          <t>In the cell below, enter the GTF’s 9 or 12 month base salary at the 1.0 FTE rate.</t>
        </r>
      </text>
    </comment>
    <comment ref="E36" authorId="1" shapeId="0" xr:uid="{2196CBA0-841A-4162-A686-B3D11972A169}">
      <text>
        <r>
          <rPr>
            <sz val="8"/>
            <color indexed="81"/>
            <rFont val="Tahoma"/>
            <family val="2"/>
          </rPr>
          <t xml:space="preserve">Salary expense will  automatically calculate with % entered below. </t>
        </r>
      </text>
    </comment>
    <comment ref="F36" authorId="1" shapeId="0" xr:uid="{11D3BF33-5C4D-4236-92D9-E470541A4250}">
      <text>
        <r>
          <rPr>
            <sz val="8"/>
            <color indexed="81"/>
            <rFont val="Tahoma"/>
            <family val="2"/>
          </rPr>
          <t xml:space="preserve">Salary expense will  automatically calculate with % entered below. </t>
        </r>
      </text>
    </comment>
    <comment ref="G36" authorId="1" shapeId="0" xr:uid="{3C6B0964-B80B-4457-A7F8-828025565D7A}">
      <text>
        <r>
          <rPr>
            <sz val="8"/>
            <color indexed="81"/>
            <rFont val="Tahoma"/>
            <family val="2"/>
          </rPr>
          <t xml:space="preserve">Salary expense will  automatically calculate with % entered below. </t>
        </r>
      </text>
    </comment>
    <comment ref="H36" authorId="1" shapeId="0" xr:uid="{E05C8426-B88E-4CA4-B544-2C918BEDE47E}">
      <text>
        <r>
          <rPr>
            <sz val="8"/>
            <color indexed="81"/>
            <rFont val="Tahoma"/>
            <family val="2"/>
          </rPr>
          <t xml:space="preserve">Salary expense will  automatically calculate with % entered below. </t>
        </r>
      </text>
    </comment>
    <comment ref="I36" authorId="1" shapeId="0" xr:uid="{7C175A53-8901-461D-8A2E-5D9C28247AFC}">
      <text>
        <r>
          <rPr>
            <sz val="8"/>
            <color indexed="81"/>
            <rFont val="Tahoma"/>
            <family val="2"/>
          </rPr>
          <t xml:space="preserve">Salary expense will  automatically calculate with % entered below. </t>
        </r>
      </text>
    </comment>
    <comment ref="D37" authorId="1" shapeId="0" xr:uid="{250B2F2E-0D2B-491C-960E-B59C76B7DC21}">
      <text>
        <r>
          <rPr>
            <sz val="8"/>
            <color indexed="81"/>
            <rFont val="Tahoma"/>
            <family val="2"/>
          </rPr>
          <t xml:space="preserve">Input ANNUAL salary for 1 GTF at 1 FTE. </t>
        </r>
      </text>
    </comment>
    <comment ref="E37" authorId="1" shapeId="0" xr:uid="{5EFBF499-74EB-4750-B872-D72AD738755D}">
      <text>
        <r>
          <rPr>
            <sz val="8"/>
            <color indexed="81"/>
            <rFont val="Tahoma"/>
            <family val="2"/>
          </rPr>
          <t>No more than .49</t>
        </r>
      </text>
    </comment>
    <comment ref="F37" authorId="1" shapeId="0" xr:uid="{1338BF7E-F7CE-4695-A36F-53ECCEB20B9A}">
      <text>
        <r>
          <rPr>
            <sz val="8"/>
            <color indexed="81"/>
            <rFont val="Tahoma"/>
            <family val="2"/>
          </rPr>
          <t>No more than .49</t>
        </r>
      </text>
    </comment>
    <comment ref="G37" authorId="1" shapeId="0" xr:uid="{29276DB8-47E8-4833-B7AC-18CF42756AC5}">
      <text>
        <r>
          <rPr>
            <sz val="8"/>
            <color indexed="81"/>
            <rFont val="Tahoma"/>
            <family val="2"/>
          </rPr>
          <t>No more than .49</t>
        </r>
      </text>
    </comment>
    <comment ref="H37" authorId="1" shapeId="0" xr:uid="{848B8B44-D51A-4895-9769-97572691DAC1}">
      <text>
        <r>
          <rPr>
            <sz val="8"/>
            <color indexed="81"/>
            <rFont val="Tahoma"/>
            <family val="2"/>
          </rPr>
          <t>No more than .49</t>
        </r>
      </text>
    </comment>
    <comment ref="I37" authorId="1" shapeId="0" xr:uid="{A27EFBDD-6DD1-429C-B149-E93ABE895E9C}">
      <text>
        <r>
          <rPr>
            <sz val="8"/>
            <color indexed="81"/>
            <rFont val="Tahoma"/>
            <family val="2"/>
          </rPr>
          <t>No more than .49</t>
        </r>
      </text>
    </comment>
    <comment ref="E38" authorId="1" shapeId="0" xr:uid="{3DAF751F-AE84-457B-872F-FD74A7528ED1}">
      <text>
        <r>
          <rPr>
            <sz val="8"/>
            <color indexed="81"/>
            <rFont val="Tahoma"/>
            <family val="2"/>
          </rPr>
          <t>Only input FTE if summer effort is part of budget.  Otherwise, leave blank.</t>
        </r>
      </text>
    </comment>
    <comment ref="F38" authorId="1" shapeId="0" xr:uid="{300CE9C4-0639-4690-B594-2DE7DDF96437}">
      <text>
        <r>
          <rPr>
            <sz val="8"/>
            <color indexed="81"/>
            <rFont val="Tahoma"/>
            <family val="2"/>
          </rPr>
          <t>Only input FTE if summer effort is part of budget.  Otherwise, leave blank.</t>
        </r>
      </text>
    </comment>
    <comment ref="G38" authorId="1" shapeId="0" xr:uid="{96A84916-26C6-4120-AF71-8872B8B42FD2}">
      <text>
        <r>
          <rPr>
            <sz val="8"/>
            <color indexed="81"/>
            <rFont val="Tahoma"/>
            <family val="2"/>
          </rPr>
          <t>Only input FTE if summer effort is part of budget.  Otherwise, leave blank.</t>
        </r>
      </text>
    </comment>
    <comment ref="H38" authorId="1" shapeId="0" xr:uid="{BE4BA9B1-70BB-4D2F-94E1-5C781D9E2143}">
      <text>
        <r>
          <rPr>
            <sz val="8"/>
            <color indexed="81"/>
            <rFont val="Tahoma"/>
            <family val="2"/>
          </rPr>
          <t>Only input FTE if summer effort is part of budget.  Otherwise, leave blank.</t>
        </r>
      </text>
    </comment>
    <comment ref="I38" authorId="1" shapeId="0" xr:uid="{98A1EF24-5F67-418E-8524-54E54C5CC7C6}">
      <text>
        <r>
          <rPr>
            <sz val="8"/>
            <color indexed="81"/>
            <rFont val="Tahoma"/>
            <family val="2"/>
          </rPr>
          <t>Only input FTE if summer effort is part of budget.  Otherwise, leave blank.</t>
        </r>
      </text>
    </comment>
    <comment ref="E39" authorId="0" shapeId="0" xr:uid="{D2889D0D-4319-42B1-BA5A-43BF4D21D5D8}">
      <text>
        <r>
          <rPr>
            <sz val="9"/>
            <color indexed="81"/>
            <rFont val="Tahoma"/>
            <family val="2"/>
          </rPr>
          <t xml:space="preserve">Insert the number of AY terms.
</t>
        </r>
      </text>
    </comment>
    <comment ref="F39" authorId="0" shapeId="0" xr:uid="{FB043F11-52B7-463E-A06D-36A4D4D384C1}">
      <text>
        <r>
          <rPr>
            <sz val="9"/>
            <color indexed="81"/>
            <rFont val="Tahoma"/>
            <family val="2"/>
          </rPr>
          <t xml:space="preserve">Insert the number of AY terms.
</t>
        </r>
      </text>
    </comment>
    <comment ref="G39" authorId="0" shapeId="0" xr:uid="{060A4EF1-47DB-4E8D-A938-A0648DDF2385}">
      <text>
        <r>
          <rPr>
            <sz val="9"/>
            <color indexed="81"/>
            <rFont val="Tahoma"/>
            <family val="2"/>
          </rPr>
          <t xml:space="preserve">Insert the number of AY terms.
</t>
        </r>
      </text>
    </comment>
    <comment ref="H39" authorId="0" shapeId="0" xr:uid="{16785345-75B9-4A03-9F3F-563EC22A2431}">
      <text>
        <r>
          <rPr>
            <sz val="9"/>
            <color indexed="81"/>
            <rFont val="Tahoma"/>
            <family val="2"/>
          </rPr>
          <t xml:space="preserve">Insert the number of AY terms.
</t>
        </r>
      </text>
    </comment>
    <comment ref="I39" authorId="0" shapeId="0" xr:uid="{46648ECE-1C54-46EB-B7F8-821901495C24}">
      <text>
        <r>
          <rPr>
            <sz val="9"/>
            <color indexed="81"/>
            <rFont val="Tahoma"/>
            <family val="2"/>
          </rPr>
          <t xml:space="preserve">Insert the number of AY terms.
</t>
        </r>
      </text>
    </comment>
    <comment ref="E40" authorId="0" shapeId="0" xr:uid="{FC219485-5EAE-43D4-963E-EE516B9F4679}">
      <text>
        <r>
          <rPr>
            <sz val="9"/>
            <color indexed="81"/>
            <rFont val="Tahoma"/>
            <family val="2"/>
          </rPr>
          <t xml:space="preserve">Insert number of Summer Terms
</t>
        </r>
      </text>
    </comment>
    <comment ref="F40" authorId="0" shapeId="0" xr:uid="{0B8D5A41-89EF-4201-AEA0-D86F8D116902}">
      <text>
        <r>
          <rPr>
            <sz val="9"/>
            <color indexed="81"/>
            <rFont val="Tahoma"/>
            <family val="2"/>
          </rPr>
          <t xml:space="preserve">Insert number of Summer Terms
</t>
        </r>
      </text>
    </comment>
    <comment ref="G40" authorId="0" shapeId="0" xr:uid="{DF49F02E-BAF3-48D0-85AA-4A0E1B602B10}">
      <text>
        <r>
          <rPr>
            <sz val="9"/>
            <color indexed="81"/>
            <rFont val="Tahoma"/>
            <family val="2"/>
          </rPr>
          <t xml:space="preserve">Insert number of Summer Terms
</t>
        </r>
      </text>
    </comment>
    <comment ref="H40" authorId="0" shapeId="0" xr:uid="{CDC135A6-506D-420D-B8EC-084F35992E4B}">
      <text>
        <r>
          <rPr>
            <sz val="9"/>
            <color indexed="81"/>
            <rFont val="Tahoma"/>
            <family val="2"/>
          </rPr>
          <t xml:space="preserve">Insert number of Summer Terms
</t>
        </r>
      </text>
    </comment>
    <comment ref="I40" authorId="0" shapeId="0" xr:uid="{7820E34A-32E7-4726-8572-8510A38EDF19}">
      <text>
        <r>
          <rPr>
            <sz val="9"/>
            <color indexed="81"/>
            <rFont val="Tahoma"/>
            <family val="2"/>
          </rPr>
          <t xml:space="preserve">Insert number of Summer Terms
</t>
        </r>
      </text>
    </comment>
    <comment ref="D43" authorId="1" shapeId="0" xr:uid="{088E3E5B-7387-4607-8CC5-38249D4280FE}">
      <text>
        <r>
          <rPr>
            <sz val="8"/>
            <color indexed="81"/>
            <rFont val="Tahoma"/>
            <family val="2"/>
          </rPr>
          <t>In the cell below, enter the GTF’s 9 or 12 month base salary at the 1.0 FTE rate.</t>
        </r>
      </text>
    </comment>
    <comment ref="E43" authorId="1" shapeId="0" xr:uid="{FBA466A4-F47D-4C22-A9BA-20B61468A268}">
      <text>
        <r>
          <rPr>
            <sz val="8"/>
            <color indexed="81"/>
            <rFont val="Tahoma"/>
            <family val="2"/>
          </rPr>
          <t xml:space="preserve">Salary expense will  automatically calculate with % entered below. </t>
        </r>
      </text>
    </comment>
    <comment ref="F43" authorId="1" shapeId="0" xr:uid="{C4DFF26D-4C1A-41AF-8060-D1A104E1EB8A}">
      <text>
        <r>
          <rPr>
            <sz val="8"/>
            <color indexed="81"/>
            <rFont val="Tahoma"/>
            <family val="2"/>
          </rPr>
          <t xml:space="preserve">Salary expense will  automatically calculate with % entered below. </t>
        </r>
      </text>
    </comment>
    <comment ref="G43" authorId="1" shapeId="0" xr:uid="{7394436D-96CF-4B43-AA52-62E46C59F4DE}">
      <text>
        <r>
          <rPr>
            <sz val="8"/>
            <color indexed="81"/>
            <rFont val="Tahoma"/>
            <family val="2"/>
          </rPr>
          <t xml:space="preserve">Salary expense will  automatically calculate with % entered below. </t>
        </r>
      </text>
    </comment>
    <comment ref="H43" authorId="1" shapeId="0" xr:uid="{E7D828A2-9CC8-4E14-9DDE-72680B5D65F1}">
      <text>
        <r>
          <rPr>
            <sz val="8"/>
            <color indexed="81"/>
            <rFont val="Tahoma"/>
            <family val="2"/>
          </rPr>
          <t xml:space="preserve">Salary expense will  automatically calculate with % entered below. </t>
        </r>
      </text>
    </comment>
    <comment ref="I43" authorId="1" shapeId="0" xr:uid="{C5E922F0-2AFA-47D8-B732-8D4C9E92FFF0}">
      <text>
        <r>
          <rPr>
            <sz val="8"/>
            <color indexed="81"/>
            <rFont val="Tahoma"/>
            <family val="2"/>
          </rPr>
          <t xml:space="preserve">Salary expense will  automatically calculate with % entered below. </t>
        </r>
      </text>
    </comment>
    <comment ref="D44" authorId="1" shapeId="0" xr:uid="{3839608E-DA68-41DE-8C37-5CCBB52E4699}">
      <text>
        <r>
          <rPr>
            <sz val="8"/>
            <color indexed="81"/>
            <rFont val="Tahoma"/>
            <family val="2"/>
          </rPr>
          <t xml:space="preserve">Input ANNUAL salary for 1 GTF at 1 FTE. </t>
        </r>
      </text>
    </comment>
    <comment ref="E44" authorId="1" shapeId="0" xr:uid="{026554D3-16F7-4C1A-88E4-BAE7F1A32BC3}">
      <text>
        <r>
          <rPr>
            <sz val="8"/>
            <color indexed="81"/>
            <rFont val="Tahoma"/>
            <family val="2"/>
          </rPr>
          <t>No more than .49</t>
        </r>
      </text>
    </comment>
    <comment ref="F44" authorId="1" shapeId="0" xr:uid="{DBE8F876-3B58-408A-B0C6-B7CCF2D43DEE}">
      <text>
        <r>
          <rPr>
            <sz val="8"/>
            <color indexed="81"/>
            <rFont val="Tahoma"/>
            <family val="2"/>
          </rPr>
          <t>No more than .49</t>
        </r>
      </text>
    </comment>
    <comment ref="G44" authorId="1" shapeId="0" xr:uid="{14E63514-6272-4912-9058-5CF8D3D4DF01}">
      <text>
        <r>
          <rPr>
            <sz val="8"/>
            <color indexed="81"/>
            <rFont val="Tahoma"/>
            <family val="2"/>
          </rPr>
          <t>No more than .49</t>
        </r>
      </text>
    </comment>
    <comment ref="H44" authorId="1" shapeId="0" xr:uid="{7872D3BF-6D37-45B9-9AA0-5A6484F13D55}">
      <text>
        <r>
          <rPr>
            <sz val="8"/>
            <color indexed="81"/>
            <rFont val="Tahoma"/>
            <family val="2"/>
          </rPr>
          <t>No more than .49</t>
        </r>
      </text>
    </comment>
    <comment ref="I44" authorId="1" shapeId="0" xr:uid="{275A4130-7536-4D40-81E2-C2E617810557}">
      <text>
        <r>
          <rPr>
            <sz val="8"/>
            <color indexed="81"/>
            <rFont val="Tahoma"/>
            <family val="2"/>
          </rPr>
          <t>No more than .49</t>
        </r>
      </text>
    </comment>
    <comment ref="E45" authorId="1" shapeId="0" xr:uid="{AB21CF89-8A33-48FB-9F32-8A750E4CC98A}">
      <text>
        <r>
          <rPr>
            <sz val="8"/>
            <color indexed="81"/>
            <rFont val="Tahoma"/>
            <family val="2"/>
          </rPr>
          <t>Only input FTE if summer effort is part of budget.  Otherwise, leave blank.</t>
        </r>
      </text>
    </comment>
    <comment ref="F45" authorId="1" shapeId="0" xr:uid="{A17E5F4D-8DC7-46A6-8841-B87D7F127427}">
      <text>
        <r>
          <rPr>
            <sz val="8"/>
            <color indexed="81"/>
            <rFont val="Tahoma"/>
            <family val="2"/>
          </rPr>
          <t>Only input FTE if summer effort is part of budget.  Otherwise, leave blank.</t>
        </r>
      </text>
    </comment>
    <comment ref="G45" authorId="1" shapeId="0" xr:uid="{317FDDA6-3BF5-41E1-BE06-917EDFACEFF8}">
      <text>
        <r>
          <rPr>
            <sz val="8"/>
            <color indexed="81"/>
            <rFont val="Tahoma"/>
            <family val="2"/>
          </rPr>
          <t>Only input FTE if summer effort is part of budget.  Otherwise, leave blank.</t>
        </r>
      </text>
    </comment>
    <comment ref="H45" authorId="1" shapeId="0" xr:uid="{0C6E036D-77A7-4175-BF37-5299F1E78E81}">
      <text>
        <r>
          <rPr>
            <sz val="8"/>
            <color indexed="81"/>
            <rFont val="Tahoma"/>
            <family val="2"/>
          </rPr>
          <t>Only input FTE if summer effort is part of budget.  Otherwise, leave blank.</t>
        </r>
      </text>
    </comment>
    <comment ref="I45" authorId="1" shapeId="0" xr:uid="{A77EDC15-39D9-4BD8-962F-47332616DF5F}">
      <text>
        <r>
          <rPr>
            <sz val="8"/>
            <color indexed="81"/>
            <rFont val="Tahoma"/>
            <family val="2"/>
          </rPr>
          <t>Only input FTE if summer effort is part of budget.  Otherwise, leave blank.</t>
        </r>
      </text>
    </comment>
    <comment ref="E46" authorId="0" shapeId="0" xr:uid="{C4365617-462B-4E5E-B59C-8662004EA9EB}">
      <text>
        <r>
          <rPr>
            <sz val="9"/>
            <color indexed="81"/>
            <rFont val="Tahoma"/>
            <family val="2"/>
          </rPr>
          <t xml:space="preserve">Insert the number of AY terms.
</t>
        </r>
      </text>
    </comment>
    <comment ref="F46" authorId="0" shapeId="0" xr:uid="{53A9DD2D-9F00-4D8A-882C-79C1CBFEF6D4}">
      <text>
        <r>
          <rPr>
            <sz val="9"/>
            <color indexed="81"/>
            <rFont val="Tahoma"/>
            <family val="2"/>
          </rPr>
          <t xml:space="preserve">Insert the number of AY terms.
</t>
        </r>
      </text>
    </comment>
    <comment ref="G46" authorId="0" shapeId="0" xr:uid="{4DEDC5C5-EB4C-49F0-8866-E1C89B4C03CD}">
      <text>
        <r>
          <rPr>
            <sz val="9"/>
            <color indexed="81"/>
            <rFont val="Tahoma"/>
            <family val="2"/>
          </rPr>
          <t xml:space="preserve">Insert the number of AY terms.
</t>
        </r>
      </text>
    </comment>
    <comment ref="H46" authorId="0" shapeId="0" xr:uid="{1EE0C0F1-5875-407A-BA86-B8F9167627D7}">
      <text>
        <r>
          <rPr>
            <sz val="9"/>
            <color indexed="81"/>
            <rFont val="Tahoma"/>
            <family val="2"/>
          </rPr>
          <t xml:space="preserve">Insert the number of AY terms.
</t>
        </r>
      </text>
    </comment>
    <comment ref="I46" authorId="0" shapeId="0" xr:uid="{9F3505E7-F8D5-4D0E-B51D-1679288B61AE}">
      <text>
        <r>
          <rPr>
            <sz val="9"/>
            <color indexed="81"/>
            <rFont val="Tahoma"/>
            <family val="2"/>
          </rPr>
          <t xml:space="preserve">Insert the number of AY terms.
</t>
        </r>
      </text>
    </comment>
    <comment ref="E47" authorId="0" shapeId="0" xr:uid="{B3D5B754-D33F-44C2-8084-7A844A9A34C9}">
      <text>
        <r>
          <rPr>
            <sz val="9"/>
            <color indexed="81"/>
            <rFont val="Tahoma"/>
            <family val="2"/>
          </rPr>
          <t xml:space="preserve">Insert number of Summer Terms
</t>
        </r>
      </text>
    </comment>
    <comment ref="F47" authorId="0" shapeId="0" xr:uid="{E6E1E54A-AB64-4625-BE9E-16C11D6C1DF0}">
      <text>
        <r>
          <rPr>
            <sz val="9"/>
            <color indexed="81"/>
            <rFont val="Tahoma"/>
            <family val="2"/>
          </rPr>
          <t xml:space="preserve">Insert number of Summer Terms
</t>
        </r>
      </text>
    </comment>
    <comment ref="G47" authorId="0" shapeId="0" xr:uid="{C373C741-C152-4DCD-884D-D91040280E40}">
      <text>
        <r>
          <rPr>
            <sz val="9"/>
            <color indexed="81"/>
            <rFont val="Tahoma"/>
            <family val="2"/>
          </rPr>
          <t xml:space="preserve">Insert number of Summer Terms
</t>
        </r>
      </text>
    </comment>
    <comment ref="H47" authorId="0" shapeId="0" xr:uid="{A97B3E34-87AD-4A14-809B-A8D905C11A4B}">
      <text>
        <r>
          <rPr>
            <sz val="9"/>
            <color indexed="81"/>
            <rFont val="Tahoma"/>
            <family val="2"/>
          </rPr>
          <t xml:space="preserve">Insert number of Summer Terms
</t>
        </r>
      </text>
    </comment>
    <comment ref="I47" authorId="0" shapeId="0" xr:uid="{5D94F8E7-B80F-4808-B3FD-298925FD3AFE}">
      <text>
        <r>
          <rPr>
            <sz val="9"/>
            <color indexed="81"/>
            <rFont val="Tahoma"/>
            <family val="2"/>
          </rPr>
          <t xml:space="preserve">Insert number of Summer Terms
</t>
        </r>
      </text>
    </comment>
    <comment ref="C52" authorId="0" shapeId="0" xr:uid="{13D2811B-18E5-450F-B7EE-61D41543F066}">
      <text>
        <r>
          <rPr>
            <b/>
            <sz val="9"/>
            <color indexed="81"/>
            <rFont val="Tahoma"/>
            <family val="2"/>
          </rPr>
          <t>Automatic calculation based on the employee Eclass OPE Rates tab of this Workbook.</t>
        </r>
        <r>
          <rPr>
            <sz val="9"/>
            <color indexed="81"/>
            <rFont val="Tahoma"/>
            <family val="2"/>
          </rPr>
          <t xml:space="preserve">
</t>
        </r>
      </text>
    </comment>
    <comment ref="C65" authorId="2" shapeId="0" xr:uid="{28CA7731-1775-4A5C-9FEE-2626632B0521}">
      <text>
        <r>
          <rPr>
            <b/>
            <sz val="9"/>
            <color indexed="81"/>
            <rFont val="Tahoma"/>
            <family val="2"/>
          </rPr>
          <t>appointment or 12 for 12-mo appointment</t>
        </r>
        <r>
          <rPr>
            <sz val="9"/>
            <color indexed="81"/>
            <rFont val="Tahoma"/>
            <family val="2"/>
          </rPr>
          <t xml:space="preserve">
</t>
        </r>
      </text>
    </comment>
    <comment ref="C73" authorId="0" shapeId="0" xr:uid="{8E705529-4DAB-4564-A3E2-1C993C992695}">
      <text>
        <r>
          <rPr>
            <b/>
            <sz val="9"/>
            <color indexed="81"/>
            <rFont val="Tahoma"/>
            <family val="2"/>
          </rPr>
          <t>Automatic calculation based on the employee Eclass OPE Rates tab of this Workbook.</t>
        </r>
        <r>
          <rPr>
            <sz val="9"/>
            <color indexed="81"/>
            <rFont val="Tahoma"/>
            <family val="2"/>
          </rPr>
          <t xml:space="preserve">
</t>
        </r>
      </text>
    </comment>
    <comment ref="C74" authorId="0" shapeId="0" xr:uid="{C0511278-E83C-4662-8CD1-A43EDF2A874F}">
      <text>
        <r>
          <rPr>
            <b/>
            <sz val="9"/>
            <color indexed="81"/>
            <rFont val="Tahoma"/>
            <family val="2"/>
          </rPr>
          <t>Automatic calculation based on the employee Eclass OPE Rates tab of this Workbook.</t>
        </r>
        <r>
          <rPr>
            <sz val="9"/>
            <color indexed="81"/>
            <rFont val="Tahoma"/>
            <family val="2"/>
          </rPr>
          <t xml:space="preserve">
</t>
        </r>
      </text>
    </comment>
    <comment ref="C76" authorId="0" shapeId="0" xr:uid="{F9D2AF29-57BC-4B38-A5E5-EAE55EFAF89D}">
      <text>
        <r>
          <rPr>
            <b/>
            <sz val="9"/>
            <color indexed="81"/>
            <rFont val="Tahoma"/>
            <family val="2"/>
          </rPr>
          <t>Automatic calculation based on the employee Eclass OPE Rates tab of this Workbook.</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Jarrod Routh</author>
  </authors>
  <commentList>
    <comment ref="A10" authorId="0" shapeId="0" xr:uid="{EC810D81-F1C8-4B86-A0FE-C0D20E5F1E23}">
      <text>
        <r>
          <rPr>
            <b/>
            <sz val="8"/>
            <color indexed="81"/>
            <rFont val="Tahoma"/>
            <family val="2"/>
          </rPr>
          <t>Enter SU Effort as a decimal or fraction (not as percent) greater than 0 but equal to, or less than 1.0</t>
        </r>
      </text>
    </comment>
    <comment ref="D10" authorId="0" shapeId="0" xr:uid="{9EA3515F-E205-43A1-8BA9-F3438922616A}">
      <text>
        <r>
          <rPr>
            <b/>
            <sz val="8"/>
            <color indexed="81"/>
            <rFont val="Tahoma"/>
            <family val="2"/>
          </rPr>
          <t>Enter AY Effort as a decimal or fraction (not as percent) greater than 0 but equal to, or less than 1.0</t>
        </r>
      </text>
    </comment>
    <comment ref="G10" authorId="0" shapeId="0" xr:uid="{26967CA2-D9C5-446D-9808-98FF4781D2C9}">
      <text>
        <r>
          <rPr>
            <b/>
            <sz val="8"/>
            <color indexed="81"/>
            <rFont val="Tahoma"/>
            <family val="2"/>
          </rPr>
          <t>Enter Cal. Effort as a decimal or fraction (not as percent) greater than 0 but equal to, or less than 1.0</t>
        </r>
      </text>
    </comment>
    <comment ref="A21" authorId="0" shapeId="0" xr:uid="{C28DCAE8-9426-495E-B128-E3625BFCA584}">
      <text>
        <r>
          <rPr>
            <b/>
            <sz val="8"/>
            <color indexed="81"/>
            <rFont val="Tahoma"/>
            <family val="2"/>
          </rPr>
          <t>Enter the Summer Person Month (PM) as a number between 0 and 3</t>
        </r>
      </text>
    </comment>
    <comment ref="D21" authorId="0" shapeId="0" xr:uid="{93D75669-D83F-4A43-B454-5A41E7EC63BF}">
      <text>
        <r>
          <rPr>
            <b/>
            <sz val="8"/>
            <color indexed="81"/>
            <rFont val="Tahoma"/>
            <family val="2"/>
          </rPr>
          <t>Enter the AY Person Month (PM) as a number between 0 and 9</t>
        </r>
      </text>
    </comment>
    <comment ref="G21" authorId="0" shapeId="0" xr:uid="{6ABB29D7-46AE-4F05-89B0-C04E865AC2F8}">
      <text>
        <r>
          <rPr>
            <b/>
            <sz val="8"/>
            <color indexed="81"/>
            <rFont val="Tahoma"/>
            <family val="2"/>
          </rPr>
          <t>Enter the Cal. Person Month (PM) as a number between 0 and 12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Glen Bennett</author>
  </authors>
  <commentList>
    <comment ref="C3" authorId="0" shapeId="0" xr:uid="{0B6D2F88-CF4D-4AC4-AC12-94ADFEACD387}">
      <text>
        <r>
          <rPr>
            <b/>
            <sz val="9"/>
            <color indexed="81"/>
            <rFont val="Tahoma"/>
            <family val="2"/>
          </rPr>
          <t>Enter the current NIH Salary CAP</t>
        </r>
        <r>
          <rPr>
            <sz val="9"/>
            <color indexed="81"/>
            <rFont val="Tahoma"/>
            <family val="2"/>
          </rPr>
          <t xml:space="preserve">
</t>
        </r>
      </text>
    </comment>
    <comment ref="C7" authorId="0" shapeId="0" xr:uid="{D81E7820-35BA-460F-9004-47F09A1FF2C2}">
      <text>
        <r>
          <rPr>
            <b/>
            <sz val="9"/>
            <color indexed="81"/>
            <rFont val="Tahoma"/>
            <family val="2"/>
          </rPr>
          <t>Enter 9 or 12 for type of Appointment</t>
        </r>
        <r>
          <rPr>
            <sz val="9"/>
            <color indexed="81"/>
            <rFont val="Tahoma"/>
            <family val="2"/>
          </rPr>
          <t xml:space="preserve">
</t>
        </r>
      </text>
    </comment>
    <comment ref="C8" authorId="0" shapeId="0" xr:uid="{AD4D0234-F44E-465C-851D-D8166EFADB86}">
      <text>
        <r>
          <rPr>
            <b/>
            <sz val="9"/>
            <color indexed="81"/>
            <rFont val="Tahoma"/>
            <family val="2"/>
          </rPr>
          <t>Enter the UO 9 or 12 month base from PWIVERI</t>
        </r>
        <r>
          <rPr>
            <sz val="9"/>
            <color indexed="81"/>
            <rFont val="Tahoma"/>
            <family val="2"/>
          </rPr>
          <t xml:space="preserve">
</t>
        </r>
      </text>
    </comment>
    <comment ref="D15" authorId="0" shapeId="0" xr:uid="{5E521650-0BF3-40E1-8539-2A289C00C237}">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E15" authorId="0" shapeId="0" xr:uid="{6B053D39-10B8-4CCF-96D0-33DE79323BC0}">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F15" authorId="0" shapeId="0" xr:uid="{DF8B3190-CBF0-487C-991F-4B9A66CD3432}">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G15" authorId="0" shapeId="0" xr:uid="{FB0F5ED6-529A-483B-BC5F-8D214694DCEF}">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H15" authorId="0" shapeId="0" xr:uid="{70F3E312-4AC5-42DF-8532-86C8373FC14E}">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List>
</comments>
</file>

<file path=xl/sharedStrings.xml><?xml version="1.0" encoding="utf-8"?>
<sst xmlns="http://schemas.openxmlformats.org/spreadsheetml/2006/main" count="474" uniqueCount="299">
  <si>
    <t>University of Oregon</t>
  </si>
  <si>
    <t>YEAR 1</t>
  </si>
  <si>
    <t>YEAR 2</t>
  </si>
  <si>
    <t>YEAR 3</t>
  </si>
  <si>
    <t>TOTAL</t>
  </si>
  <si>
    <t>Total Fringe Benefits</t>
  </si>
  <si>
    <t>TRAVEL</t>
  </si>
  <si>
    <t>Total Other</t>
  </si>
  <si>
    <t xml:space="preserve">PI DEPT:  </t>
  </si>
  <si>
    <t>Stipend</t>
  </si>
  <si>
    <t>Travel</t>
  </si>
  <si>
    <t>Subsistence</t>
  </si>
  <si>
    <t>Other</t>
  </si>
  <si>
    <t>Total Participant Support</t>
  </si>
  <si>
    <t>TOTAL PERSONNEL</t>
  </si>
  <si>
    <t>Tuition</t>
  </si>
  <si>
    <t>AY/term</t>
  </si>
  <si>
    <t>Domestic</t>
  </si>
  <si>
    <t>Foreign</t>
  </si>
  <si>
    <t>Total Equipment</t>
  </si>
  <si>
    <t>Total Travel</t>
  </si>
  <si>
    <t>Total Supplies</t>
  </si>
  <si>
    <t>[Other]</t>
  </si>
  <si>
    <t>&gt;25K</t>
  </si>
  <si>
    <t xml:space="preserve">Total Subcontracts </t>
  </si>
  <si>
    <t>&gt;$25K</t>
  </si>
  <si>
    <t xml:space="preserve">Subcontract </t>
  </si>
  <si>
    <t>Totals</t>
  </si>
  <si>
    <t>FRINGE BENEFITS (OPE)</t>
  </si>
  <si>
    <t>In-state</t>
  </si>
  <si>
    <t xml:space="preserve"> </t>
  </si>
  <si>
    <t xml:space="preserve">EPCS# </t>
  </si>
  <si>
    <t>SU/term</t>
  </si>
  <si>
    <t>Benefits for AY 9-mo. and 12-mo. appts.</t>
  </si>
  <si>
    <t>Summer benefits for 9-mo. faculty</t>
  </si>
  <si>
    <t>YEAR 4</t>
  </si>
  <si>
    <t>YEAR 5</t>
  </si>
  <si>
    <t>UO PERSONNEL</t>
  </si>
  <si>
    <t>SALARIES/WAGES</t>
  </si>
  <si>
    <t>Summer salaries for 9-mo. appts.</t>
  </si>
  <si>
    <t xml:space="preserve">  for AY 9-mo. and 12-mo. appts.</t>
  </si>
  <si>
    <t>Yr 1</t>
  </si>
  <si>
    <t>Yr 2</t>
  </si>
  <si>
    <t>Yr 3</t>
  </si>
  <si>
    <t>Yr 4</t>
  </si>
  <si>
    <t>Yr 5</t>
  </si>
  <si>
    <t>BASE</t>
  </si>
  <si>
    <t>SALARY</t>
  </si>
  <si>
    <t>Regular Students</t>
  </si>
  <si>
    <t>%</t>
  </si>
  <si>
    <t>Total Salaries &amp; Wages</t>
  </si>
  <si>
    <t>Out-of-state</t>
  </si>
  <si>
    <t>Other UO</t>
  </si>
  <si>
    <t>&lt;=25K</t>
  </si>
  <si>
    <t>&lt;=$25K</t>
  </si>
  <si>
    <t>-leave blank-</t>
  </si>
  <si>
    <t>Include COLAs</t>
  </si>
  <si>
    <t>in this budget?</t>
  </si>
  <si>
    <t>Enter Y or N</t>
  </si>
  <si>
    <t>AY BASE</t>
  </si>
  <si>
    <t>Start</t>
  </si>
  <si>
    <t>End</t>
  </si>
  <si>
    <t>Person Month / Effort:  Conversion Tool</t>
  </si>
  <si>
    <r>
      <rPr>
        <b/>
        <sz val="10"/>
        <color indexed="8"/>
        <rFont val="Arial"/>
        <family val="2"/>
      </rPr>
      <t>Insert the Effort</t>
    </r>
    <r>
      <rPr>
        <sz val="10"/>
        <color indexed="8"/>
        <rFont val="Arial"/>
        <family val="2"/>
      </rPr>
      <t xml:space="preserve"> in the green cells below to convert to Person Months (PM)</t>
    </r>
  </si>
  <si>
    <t>Person Months for 3, 9, and 12 month terms will display simultaneously.</t>
  </si>
  <si>
    <t>3 month</t>
  </si>
  <si>
    <t>9 month</t>
  </si>
  <si>
    <t>12 month</t>
  </si>
  <si>
    <t>Summer Term</t>
  </si>
  <si>
    <t>Academic Year</t>
  </si>
  <si>
    <t>Calendar Year</t>
  </si>
  <si>
    <t>3-mo</t>
  </si>
  <si>
    <t>9-mo</t>
  </si>
  <si>
    <t>12-mo</t>
  </si>
  <si>
    <t>Effort</t>
  </si>
  <si>
    <t xml:space="preserve">         PM</t>
  </si>
  <si>
    <t xml:space="preserve">        PM</t>
  </si>
  <si>
    <t>Months per twelve month period</t>
  </si>
  <si>
    <t>Annual FTE (over twelve months)</t>
  </si>
  <si>
    <r>
      <rPr>
        <b/>
        <sz val="10"/>
        <color indexed="8"/>
        <rFont val="Arial"/>
        <family val="2"/>
      </rPr>
      <t>Insert the Person Months (PM)</t>
    </r>
    <r>
      <rPr>
        <sz val="10"/>
        <color indexed="8"/>
        <rFont val="Arial"/>
        <family val="2"/>
      </rPr>
      <t xml:space="preserve"> in the yellow cells below to convert to Effort</t>
    </r>
  </si>
  <si>
    <t>Effort for 3, 9, and 12 month terms will display simultaneously.</t>
  </si>
  <si>
    <t>PM</t>
  </si>
  <si>
    <t>Total Academic Terms</t>
  </si>
  <si>
    <t>Total Summer Terms</t>
  </si>
  <si>
    <t>Personnel COLA</t>
  </si>
  <si>
    <t>Non-Personnel COLA</t>
  </si>
  <si>
    <t xml:space="preserve">    Academic Year Graduate Tuition</t>
  </si>
  <si>
    <t xml:space="preserve">    Summer Graduate Tuition</t>
  </si>
  <si>
    <t xml:space="preserve">    Rental Costs of off-site Facilities</t>
  </si>
  <si>
    <t>AY Fees</t>
  </si>
  <si>
    <t>AY Ins</t>
  </si>
  <si>
    <t>SU Ins</t>
  </si>
  <si>
    <t>Out-of-state Tuition</t>
  </si>
  <si>
    <t>In-state Tuition</t>
  </si>
  <si>
    <t>AY</t>
  </si>
  <si>
    <t>Reference Year</t>
  </si>
  <si>
    <t>QRC</t>
  </si>
  <si>
    <t>To use the NIH Salary CAP Calculator, complete steps 1, 2, 3, and 4 below</t>
  </si>
  <si>
    <t>Step #1</t>
  </si>
  <si>
    <t>Enter the current NIH Salary CAP</t>
  </si>
  <si>
    <t>Auto-calculation:</t>
  </si>
  <si>
    <t>Hourly rate per the current NIH Salary CAP</t>
  </si>
  <si>
    <t>Step #2</t>
  </si>
  <si>
    <t>Enter the type of UO Appointment, 9 or 12 month</t>
  </si>
  <si>
    <t>Step #3</t>
  </si>
  <si>
    <t>Enter the UO 9 or 12 month base from PWIVERI</t>
  </si>
  <si>
    <t>12-month UO personnel's Institutional Base Salary</t>
  </si>
  <si>
    <t>UO personnel's Hourly Rate</t>
  </si>
  <si>
    <t>Direct Cost %</t>
  </si>
  <si>
    <t>Cost Share %</t>
  </si>
  <si>
    <t>Year 1</t>
  </si>
  <si>
    <t>Year 2</t>
  </si>
  <si>
    <t>Year 3</t>
  </si>
  <si>
    <t>Year 4</t>
  </si>
  <si>
    <t>Year 5</t>
  </si>
  <si>
    <t>Step #4</t>
  </si>
  <si>
    <t>Enter Total Committed Effort for each Project Period (Direct plus Cost Share)</t>
  </si>
  <si>
    <t>Labor Distribution for direct-charged salary</t>
  </si>
  <si>
    <t>Labor Distribution for cost-shared salary</t>
  </si>
  <si>
    <t>Direct Charge: Maximum Salary Amount direct-charged to the project</t>
  </si>
  <si>
    <t>Cost Share: Salary Amount Cost-shared to the project</t>
  </si>
  <si>
    <t xml:space="preserve">Participant support costs means direct costs for items such as stipends or subsistence allowances, travel allowances, </t>
  </si>
  <si>
    <t xml:space="preserve">and registration fees paid to or on behalf of participants or trainees (but not employees) in connection with conferences, or </t>
  </si>
  <si>
    <t>training projects.</t>
  </si>
  <si>
    <t>2 CFR §200.75   Participant support costs.</t>
  </si>
  <si>
    <t>2 CFR §200.68   Modified Total Direct Cost (MTDC).</t>
  </si>
  <si>
    <t xml:space="preserve">MTDC means all direct salaries and wages, applicable fringe benefits, materials and supplies, services, travel, and </t>
  </si>
  <si>
    <t xml:space="preserve">subawards and subcontracts up to the first $25,000 of each subaward or subcontract (regardless of the period of </t>
  </si>
  <si>
    <t>Work Study Students</t>
  </si>
  <si>
    <t xml:space="preserve">  Total F&amp;A Exempt Other</t>
  </si>
  <si>
    <t>Template revised</t>
  </si>
  <si>
    <t xml:space="preserve">Please reference this link for additional guidance:   </t>
  </si>
  <si>
    <t>Direct Costs of [Subcontract Institution 1]</t>
  </si>
  <si>
    <t>Indirect Costs of [Subcontract Institution 1]</t>
  </si>
  <si>
    <t>Direct Costs of [Subcontract Institution 2]</t>
  </si>
  <si>
    <t>Indirect Costs of [Subcontract Institution 2]</t>
  </si>
  <si>
    <t>Indirect Costs of [Subcontract Institution 3]</t>
  </si>
  <si>
    <t>Direct Costs of [Subcontract Institution 3]</t>
  </si>
  <si>
    <t>Total Direct Costs of Subcontracts</t>
  </si>
  <si>
    <t>Total Indirect Costs of Subcontracts</t>
  </si>
  <si>
    <t>* UO F&amp;A BASE : MODIFIED TOTAL DIRECT COSTS (MTDC)</t>
  </si>
  <si>
    <t>Payroll COLA</t>
  </si>
  <si>
    <t>Non-Payroll COLA</t>
  </si>
  <si>
    <r>
      <t xml:space="preserve">YEAR NIH MODULAR BUDGET  </t>
    </r>
    <r>
      <rPr>
        <b/>
        <sz val="12"/>
        <color indexed="10"/>
        <rFont val="Times New Roman"/>
        <family val="1"/>
      </rPr>
      <t>(Always change cell A1 to equal the number of project years for this budget)</t>
    </r>
  </si>
  <si>
    <t>TOTAL R&amp;R Detailed Direct Cost less Consortium F&amp;A</t>
  </si>
  <si>
    <t>Consortium F&amp;A</t>
  </si>
  <si>
    <t>A. (Modular) Direct Costs</t>
  </si>
  <si>
    <t xml:space="preserve">    Consortium F&amp;A</t>
  </si>
  <si>
    <t xml:space="preserve">   (Modular) Direct Cost less Consortium F&amp;A</t>
  </si>
  <si>
    <t xml:space="preserve">    Total (Modular) Direct Costs</t>
  </si>
  <si>
    <t>B. Indirect Costs</t>
  </si>
  <si>
    <t>C. Total Direct and Indirect costs (A + B)</t>
  </si>
  <si>
    <t>Funds Requested ($)</t>
  </si>
  <si>
    <t>&lt;-- Subtract Consortium F&amp;A to determine the number of modules</t>
  </si>
  <si>
    <t>*UO F&amp;A or 'indirect costs' are computed on the NIH Checklist</t>
  </si>
  <si>
    <t>form using the annual Modular DC $ minus exclusions</t>
  </si>
  <si>
    <t>such as equipment, tuition, and subawards after the first $25K.</t>
  </si>
  <si>
    <t>Total number of Modules per year*:</t>
  </si>
  <si>
    <t>A + B = C</t>
  </si>
  <si>
    <t>2 CFR §200.456   Participant Support costs:</t>
  </si>
  <si>
    <t>Participant support costs as defined in §200.75 Participant support costs are allowable with the prior approval of the Federal awarding agency.</t>
  </si>
  <si>
    <t>B.</t>
  </si>
  <si>
    <t xml:space="preserve">A. </t>
  </si>
  <si>
    <t>C.</t>
  </si>
  <si>
    <t xml:space="preserve">      Exclusions subtracted are Graduate Tuition, Rental Costs of off-site Facilities, Participant Support, Equipment, Sub-award amount in excess of first $25,000</t>
  </si>
  <si>
    <t>Increase/Yr</t>
  </si>
  <si>
    <t>Other UO Tuition</t>
  </si>
  <si>
    <t xml:space="preserve">performance of the subawards and subcontracts under the award). MTDC excludes equipment, capital expenditures, charges </t>
  </si>
  <si>
    <t>for patient care, rental costs, tuition remission, scholarships and fellowships, participant support costs and the portion of each</t>
  </si>
  <si>
    <t xml:space="preserve">subaward and subcontract in excess of $25,000. Other items may only be excluded when necessary to avoid a serious </t>
  </si>
  <si>
    <t>inequity in the distribution of indirect costs, and with the approval of the cognizant agency for indirect costs.</t>
  </si>
  <si>
    <t>Select Project Type</t>
  </si>
  <si>
    <t>Research: on campus</t>
  </si>
  <si>
    <t>Research: off campus</t>
  </si>
  <si>
    <t>Instruction: on campus</t>
  </si>
  <si>
    <t>Instruction: off campus</t>
  </si>
  <si>
    <t>Other Sponsored Activity: on campus</t>
  </si>
  <si>
    <t>Other Sponsored Activity: off campus</t>
  </si>
  <si>
    <t>- Enter Applicable F&amp;A Rate Below-</t>
  </si>
  <si>
    <t>Facilities/Administrative (Indirect Cost) Rate:</t>
  </si>
  <si>
    <t xml:space="preserve">Agency Limited F&amp;A or other Approved F&amp;A Rate: </t>
  </si>
  <si>
    <t>Facilities/Administrative Costs (Indirect Costs) of MTDC</t>
  </si>
  <si>
    <t>SU/Term</t>
  </si>
  <si>
    <t>SU Fees</t>
  </si>
  <si>
    <t xml:space="preserve">Employee class </t>
  </si>
  <si>
    <t>Description</t>
  </si>
  <si>
    <t>Rates</t>
  </si>
  <si>
    <t xml:space="preserve">Faculty/Staff A </t>
  </si>
  <si>
    <t xml:space="preserve">Faculty/Staff B </t>
  </si>
  <si>
    <t xml:space="preserve">Faculty/Staff C </t>
  </si>
  <si>
    <t>Classified Service</t>
  </si>
  <si>
    <t>Classified Skilled/Clerical</t>
  </si>
  <si>
    <t>Classified Technical</t>
  </si>
  <si>
    <t>Employee Class</t>
  </si>
  <si>
    <t>Budget Year</t>
  </si>
  <si>
    <t>Offset from Base Year</t>
  </si>
  <si>
    <t>Select Employee Class</t>
  </si>
  <si>
    <t>9 Month Faculty/Staff (SU)</t>
  </si>
  <si>
    <t>Classified - Service</t>
  </si>
  <si>
    <t>Classified - Clerical/Skilled</t>
  </si>
  <si>
    <t>Classified - Technical</t>
  </si>
  <si>
    <t xml:space="preserve">Eclass </t>
  </si>
  <si>
    <t>GE Fees</t>
  </si>
  <si>
    <t>GE Ins</t>
  </si>
  <si>
    <t>GE COLA</t>
  </si>
  <si>
    <t>GE I and GE II (Full Time Tuition)</t>
  </si>
  <si>
    <t>GE Salaries</t>
  </si>
  <si>
    <t>GE  AY effort</t>
  </si>
  <si>
    <t>GE summer effort</t>
  </si>
  <si>
    <t>GE III (3 Credit Hours per Term)</t>
  </si>
  <si>
    <t>GE,OPE + insurance/fees</t>
  </si>
  <si>
    <t>Annual increase on GE Tuition</t>
  </si>
  <si>
    <t>Annual increase on GE AY Fees</t>
  </si>
  <si>
    <t>Annual increase on GE SU Fees</t>
  </si>
  <si>
    <t>Annual increase on GE Insurance</t>
  </si>
  <si>
    <t>12 Month Faculty, w/ appt. .5+ FTE &amp; Hrly</t>
  </si>
  <si>
    <t>The Faculty/Staff A Employee Class consists of all salaried staff employees, and faculty members that are on a twelve month schedule.  Most of these employees are all eligible for sick leave and vacation leave.</t>
  </si>
  <si>
    <t>The Faculty/Staff B Employee Class consists of faculty members that are on a nine month schedule that are sick leave eligible but not eligible for vacation leave, all Post Docs, and employees coded as Executives.</t>
  </si>
  <si>
    <t>The Classified Service Employee Class consists of hourly employees that are coded as service/maintenance such as groundskeepers, custodians, laborers, and food service workers.</t>
  </si>
  <si>
    <t>The Classified Skilled/Clerical Employee Class consists of hourly employees that are coded as skilled and clerical.</t>
  </si>
  <si>
    <t>The Classified Technical Employee Class consists of hourly employees that are coded as technical and professional.</t>
  </si>
  <si>
    <t>The Students Employee Class consists of graduate employees, fellows, and undergraduate student employees.</t>
  </si>
  <si>
    <t>Students</t>
  </si>
  <si>
    <t>9 or 12 Month Faculty, w/ appt. &lt;.5 FTE</t>
  </si>
  <si>
    <t>9 Month Faculty (AY) .5+ FTE, Postdocs, Executives</t>
  </si>
  <si>
    <t>Summer</t>
  </si>
  <si>
    <t>Temps</t>
  </si>
  <si>
    <t>The Faculty/Staff C Employee Class consists of all employees on summer term employment excluding students; and also includes faculty and staff on less than .5 FTE.</t>
  </si>
  <si>
    <t xml:space="preserve">The Temp Employee Class consists of University of Oregon officers/teachers/researchers, hourly faculty and hourly staff less than .5FTE, and temporary support staff employees. </t>
  </si>
  <si>
    <t>Fringe Benefits ("Other Payroll Expenses" (OPE)</t>
  </si>
  <si>
    <t>UO Office of Budget and Resources Planning -  Blended OPE</t>
  </si>
  <si>
    <t xml:space="preserve">The formula is updated in December of 2020 to included the number "12" in the "Offset from Base Year" formula, "MAX(0,MIN(12,F29-$B$4))" to account for the </t>
  </si>
  <si>
    <t>additional years added to the spreadsheet.</t>
  </si>
  <si>
    <t xml:space="preserve">Regardless of whether "Y" or "N" is selected  on the 'R&amp;R Generic Detailed Budget'! Tab in Cell R8, there is no Personnel COLA applied by the formula in Year 1. </t>
  </si>
  <si>
    <t xml:space="preserve">In years 2 through 5, if "N" is selected  on the 'R&amp;R Generic Detailed Budget'! Tab in Cell R8, there is no Personnel COLA applied by the formula in for the Project Year. </t>
  </si>
  <si>
    <t>In years 2 through 5, if "Y" is selected  on the 'R&amp;R Generic Detailed Budget'! Tab in Cell R8, the Personnel COLA applied by the formula in for the Project Year, except on the</t>
  </si>
  <si>
    <t>current spreadsheet, if the project year is beyond 2026, the 2026 fringe benefit rate will be applied. See continued explanation below.</t>
  </si>
  <si>
    <t xml:space="preserve">In December of 2020, the "IF" statement compares the 1st year of the project to year 2026. If less than 2026, the logic pulls the fringe benefit rate from the table for the appropriate </t>
  </si>
  <si>
    <t>first year, 2021 through 2026. If more  than  2026, the logic pulls the fringe benefit rate from the table for year 2026, and no increase in fringe benefit rates  is included.</t>
  </si>
  <si>
    <t>This logic is based on (1) The budgeting spreadsheet is updated at least once per year. There will likely be no proposals which utilize this logic extending the project period</t>
  </si>
  <si>
    <t xml:space="preserve">into year 2027 for at least twelve months from December, 2020. For example, for a five-year project period beginning January 1, 2022, the fringe benefit rates applied will be </t>
  </si>
  <si>
    <t xml:space="preserve">the currently estimated fringe benefit rates from year 2026, which are estimated based on the average percent increase in rates for the three previous years. Proposal budgets </t>
  </si>
  <si>
    <t>with beginning project periods of July 1, 2022 will predominantly not occur until November through December of 2021, to January, 2022. Budget and Resource Planning (BRP)</t>
  </si>
  <si>
    <t xml:space="preserve">will again update the posted fringe benefit rates at least once again in the next twelve months, since BRP submits fringe benefit rate proposals to DHHS annually around December </t>
  </si>
  <si>
    <t>of each year. Therefore, the aforementioned logic in this spreadsheet should be updated at least by December 31, 2021 which will update the spreadsheet to include the new</t>
  </si>
  <si>
    <t xml:space="preserve">Estimated Projections on the out years provided by UO Budget and Resource Planning in December of 2021. At this time, the 2026 fringe benefit rates will be posted on BRP's </t>
  </si>
  <si>
    <t>website and the logic of this spreadsheet can be updated to include estimated fringe benefits for 2027 based on the prior three years of fringe benefit rate increases.</t>
  </si>
  <si>
    <r>
      <rPr>
        <b/>
        <sz val="10"/>
        <color indexed="10"/>
        <rFont val="Times New Roman"/>
        <family val="1"/>
      </rPr>
      <t xml:space="preserve">Note: </t>
    </r>
    <r>
      <rPr>
        <b/>
        <sz val="10"/>
        <rFont val="Times New Roman"/>
        <family val="1"/>
      </rPr>
      <t>BRP may update the current year  (FY) fringe benefit rate, so that it is the same as the current year (FY) fringe benefit rate which appears on UO's F&amp;A rate agreement.</t>
    </r>
  </si>
  <si>
    <r>
      <rPr>
        <b/>
        <sz val="10"/>
        <color indexed="10"/>
        <rFont val="Times New Roman"/>
        <family val="1"/>
      </rPr>
      <t xml:space="preserve">Note: </t>
    </r>
    <r>
      <rPr>
        <b/>
        <sz val="10"/>
        <rFont val="Times New Roman"/>
        <family val="1"/>
      </rPr>
      <t>BRP updates Estimated Projections on the out year fringe benefit rates, which do not yet appear on UO's F&amp;A rate agreement at least once annually, usually in December</t>
    </r>
  </si>
  <si>
    <t>of each year, after each years Fringe Benefit Rate Proposal has been submitted to DHHS. BRP may occasionally update these rates more than once each year based on</t>
  </si>
  <si>
    <t>updated information BRP uses to calculate the Estimated Projections on the out year fringe benefit rates. When BRP updates these rates, and posts the updated rates on the</t>
  </si>
  <si>
    <t xml:space="preserve"> BRP website, the rates must then be updated on this spreadsheet.</t>
  </si>
  <si>
    <t>Y</t>
  </si>
  <si>
    <t xml:space="preserve">% FTE </t>
  </si>
  <si>
    <t>PI Name:</t>
  </si>
  <si>
    <t>[Total costs, Subrecipient Institution 1]</t>
  </si>
  <si>
    <t>[Total costs, Subrecipient Institution 2]</t>
  </si>
  <si>
    <t>[Total costs, Subrecipient Institution 3]</t>
  </si>
  <si>
    <t xml:space="preserve">&lt;-- UO's MTDC Base = Total (Modular) Direct Costs less exclusions </t>
  </si>
  <si>
    <t xml:space="preserve">https://research.uoregon.edu/apply/apply-external-funding/prepare/nih-salary-cap </t>
  </si>
  <si>
    <t>PARTICIPANT SUPPORT COSTS</t>
  </si>
  <si>
    <t>OTHER DIRECT COSTS</t>
  </si>
  <si>
    <t>1. MATERIALS AND SUPPLIES</t>
  </si>
  <si>
    <t>2. PUBLICATION COSTS/DOCUMENTATION/DISSEMINATION</t>
  </si>
  <si>
    <t>Total Publications</t>
  </si>
  <si>
    <t>3. CONSULTANT SERVICES</t>
  </si>
  <si>
    <t>Total Consultant Services</t>
  </si>
  <si>
    <t>4. COMPUTER SERVICES</t>
  </si>
  <si>
    <t>Total Computer Services</t>
  </si>
  <si>
    <t xml:space="preserve"> 6.  OTHER - GRADUATE TUITION (F&amp;A Exempt)</t>
  </si>
  <si>
    <t>Total Tuition</t>
  </si>
  <si>
    <t xml:space="preserve"> 6.  OTHER - OFF-SITE FACILITY RENTAL (F&amp;A Exempt)</t>
  </si>
  <si>
    <t>6. OTHER</t>
  </si>
  <si>
    <t>Total Other Direct Costs</t>
  </si>
  <si>
    <t>TOTAL DIRECT COSTS (includes Total Subcontracts Costs)</t>
  </si>
  <si>
    <r>
      <t xml:space="preserve">&lt;-- See R&amp;R Direct Cost total less Sub F&amp;A, cell </t>
    </r>
    <r>
      <rPr>
        <sz val="10"/>
        <color indexed="62"/>
        <rFont val="Times New Roman"/>
        <family val="1"/>
      </rPr>
      <t>P189</t>
    </r>
  </si>
  <si>
    <r>
      <t>&lt;-- See Average Annual Direct Cost, cell</t>
    </r>
    <r>
      <rPr>
        <sz val="10"/>
        <color indexed="62"/>
        <rFont val="Times New Roman"/>
        <family val="1"/>
      </rPr>
      <t xml:space="preserve"> P200</t>
    </r>
  </si>
  <si>
    <t>5. SUBAWARDEES</t>
  </si>
  <si>
    <t>Average Annual Direct Cost*</t>
  </si>
  <si>
    <t>*Average Annual Direct Cost includes equipment and subaward direct costs. (Subaward F&amp;A is not included, but is added separately to total request.)</t>
  </si>
  <si>
    <t>&lt;-- This is the average annual direct cost less Consortium F&amp;A</t>
  </si>
  <si>
    <t xml:space="preserve">Estimated Future Years by Budget and Resource Planning </t>
  </si>
  <si>
    <t>Estimated Future Rates</t>
  </si>
  <si>
    <t>Blended OPE Link</t>
  </si>
  <si>
    <t>Average Change in OPE Rates</t>
  </si>
  <si>
    <t>Change</t>
  </si>
  <si>
    <t>SPS Estimate</t>
  </si>
  <si>
    <t>1-1-25 Notes for SPS calculated OPE</t>
  </si>
  <si>
    <t>For SPS calculated OPE I used the average of the previous 5 years for columns G &amp; H.  I hopt that the 5-year average is a good solution.</t>
  </si>
  <si>
    <t xml:space="preserve">Before 1-1-25, the budget template used a two formulas which sometimes resulted in an error when the OPE rate decreased. </t>
  </si>
  <si>
    <t xml:space="preserve">I could not determine the purpose of the table A15-H23.  Since the formulas for B26-F33 do not work without the table,  I will keep it as part of the spreadsheet. </t>
  </si>
  <si>
    <t xml:space="preserve">The below two paragraphs are out of date but you may find useful for figuring out the formulas. </t>
  </si>
  <si>
    <r>
      <t>Logic for formula calculation in Rows</t>
    </r>
    <r>
      <rPr>
        <b/>
        <strike/>
        <sz val="10"/>
        <color indexed="10"/>
        <rFont val="Times New Roman"/>
        <family val="1"/>
      </rPr>
      <t xml:space="preserve"> 31 through 38</t>
    </r>
    <r>
      <rPr>
        <b/>
        <sz val="10"/>
        <color indexed="10"/>
        <rFont val="Times New Roman"/>
        <family val="1"/>
      </rPr>
      <t>, columns B through F:</t>
    </r>
  </si>
  <si>
    <t>I think it should be rows 26-33.</t>
  </si>
  <si>
    <r>
      <t>Logic for formula calculation in Row</t>
    </r>
    <r>
      <rPr>
        <b/>
        <strike/>
        <sz val="10"/>
        <color indexed="10"/>
        <rFont val="Times New Roman"/>
        <family val="1"/>
      </rPr>
      <t xml:space="preserve"> 30</t>
    </r>
    <r>
      <rPr>
        <b/>
        <sz val="10"/>
        <color indexed="10"/>
        <rFont val="Times New Roman"/>
        <family val="1"/>
      </rPr>
      <t>, 25 columns B through F.</t>
    </r>
  </si>
  <si>
    <t>NIH notice NOT-HS-25-015</t>
  </si>
  <si>
    <t>In compliance with NOT-HS-25-015. Release date January 22, 2025---See</t>
  </si>
  <si>
    <t>26-27</t>
  </si>
  <si>
    <t>EQUIPMENT (List item and dollar amount for each item $5,000 and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</si>
</sst>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409]d\-mmm\-yy;@"/>
    <numFmt numFmtId="166" formatCode="0.000"/>
    <numFmt numFmtId="167" formatCode="0.0000"/>
    <numFmt numFmtId="168" formatCode="_(* #,##0.0000_);_(* \(#,##0.0000\);_(* &quot;-&quot;????_);_(@_)"/>
    <numFmt numFmtId="169" formatCode="_(* #,##0_);_(* \(#,##0\);_(* &quot;-&quot;??_);_(@_)"/>
    <numFmt numFmtId="170" formatCode="#,##0.0000_);\(#,##0.0000\)"/>
    <numFmt numFmtId="171" formatCode="_(* #,##0.0_);_(* \(#,##0.0\);_(* &quot;-&quot;??_);_(@_)"/>
    <numFmt numFmtId="172" formatCode="_(&quot;$&quot;* #,##0_);_(&quot;$&quot;* \(#,##0\);_(&quot;$&quot;* &quot;-&quot;??_);_(@_)"/>
    <numFmt numFmtId="173" formatCode="m/d/yy;@"/>
  </numFmts>
  <fonts count="59" x14ac:knownFonts="1">
    <font>
      <sz val="10"/>
      <name val="Helv"/>
    </font>
    <font>
      <b/>
      <sz val="10"/>
      <name val="Helv"/>
    </font>
    <font>
      <sz val="10"/>
      <name val="Arial"/>
      <family val="2"/>
    </font>
    <font>
      <u/>
      <sz val="10"/>
      <color indexed="12"/>
      <name val="Helv"/>
    </font>
    <font>
      <sz val="8"/>
      <color indexed="81"/>
      <name val="Tahoma"/>
      <family val="2"/>
    </font>
    <font>
      <sz val="10"/>
      <name val="Times New Roman"/>
      <family val="1"/>
    </font>
    <font>
      <b/>
      <sz val="10"/>
      <name val="Times New Roman"/>
      <family val="1"/>
    </font>
    <font>
      <sz val="8"/>
      <name val="Times New Roman"/>
      <family val="1"/>
    </font>
    <font>
      <i/>
      <sz val="10"/>
      <name val="Times New Roman"/>
      <family val="1"/>
    </font>
    <font>
      <sz val="10"/>
      <color indexed="55"/>
      <name val="Times New Roman"/>
      <family val="1"/>
    </font>
    <font>
      <b/>
      <sz val="11"/>
      <name val="Times New Roman"/>
      <family val="1"/>
    </font>
    <font>
      <sz val="10"/>
      <color indexed="16"/>
      <name val="Times New Roman"/>
      <family val="1"/>
    </font>
    <font>
      <u/>
      <sz val="10"/>
      <name val="Times New Roman"/>
      <family val="1"/>
    </font>
    <font>
      <sz val="10"/>
      <name val="Helv"/>
    </font>
    <font>
      <sz val="9"/>
      <color indexed="81"/>
      <name val="Tahoma"/>
      <family val="2"/>
    </font>
    <font>
      <b/>
      <sz val="12"/>
      <name val="Times New Roman"/>
      <family val="1"/>
    </font>
    <font>
      <sz val="12"/>
      <name val="Times New Roman"/>
      <family val="1"/>
    </font>
    <font>
      <i/>
      <sz val="8"/>
      <name val="Times New Roman"/>
      <family val="1"/>
    </font>
    <font>
      <sz val="9"/>
      <name val="Arial"/>
      <family val="2"/>
    </font>
    <font>
      <b/>
      <sz val="10"/>
      <name val="Arial"/>
      <family val="2"/>
    </font>
    <font>
      <sz val="10"/>
      <color indexed="8"/>
      <name val="Arial"/>
      <family val="2"/>
    </font>
    <font>
      <b/>
      <sz val="9"/>
      <name val="Arial"/>
      <family val="2"/>
    </font>
    <font>
      <sz val="9"/>
      <color indexed="20"/>
      <name val="Arial"/>
      <family val="2"/>
    </font>
    <font>
      <b/>
      <sz val="10"/>
      <color indexed="8"/>
      <name val="Arial"/>
      <family val="2"/>
    </font>
    <font>
      <sz val="9"/>
      <color indexed="8"/>
      <name val="Arial"/>
      <family val="2"/>
    </font>
    <font>
      <u/>
      <sz val="9"/>
      <color indexed="8"/>
      <name val="Arial"/>
      <family val="2"/>
    </font>
    <font>
      <b/>
      <sz val="9"/>
      <color indexed="10"/>
      <name val="Arial"/>
      <family val="2"/>
    </font>
    <font>
      <b/>
      <sz val="8"/>
      <color indexed="81"/>
      <name val="Tahoma"/>
      <family val="2"/>
    </font>
    <font>
      <b/>
      <sz val="9"/>
      <color indexed="81"/>
      <name val="Tahoma"/>
      <family val="2"/>
    </font>
    <font>
      <b/>
      <sz val="12"/>
      <color indexed="10"/>
      <name val="Times New Roman"/>
      <family val="1"/>
    </font>
    <font>
      <b/>
      <i/>
      <sz val="10"/>
      <name val="Times New Roman"/>
      <family val="1"/>
    </font>
    <font>
      <i/>
      <sz val="12"/>
      <name val="Times New Roman"/>
      <family val="1"/>
    </font>
    <font>
      <b/>
      <sz val="11"/>
      <name val="Arial"/>
      <family val="2"/>
    </font>
    <font>
      <b/>
      <sz val="10"/>
      <color indexed="10"/>
      <name val="Times New Roman"/>
      <family val="1"/>
    </font>
    <font>
      <sz val="11"/>
      <name val="Arial"/>
      <family val="2"/>
    </font>
    <font>
      <b/>
      <sz val="8"/>
      <name val="Times New Roman"/>
      <family val="1"/>
    </font>
    <font>
      <sz val="10"/>
      <color indexed="62"/>
      <name val="Times New Roman"/>
      <family val="1"/>
    </font>
    <font>
      <b/>
      <i/>
      <sz val="11"/>
      <name val="Times New Roman"/>
      <family val="1"/>
    </font>
    <font>
      <u/>
      <sz val="11"/>
      <color indexed="12"/>
      <name val="Arial"/>
      <family val="2"/>
    </font>
    <font>
      <sz val="11"/>
      <name val="Times New Roman"/>
      <family val="1"/>
    </font>
    <font>
      <b/>
      <strike/>
      <sz val="10"/>
      <color indexed="10"/>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0000CC"/>
      <name val="Times New Roman"/>
      <family val="1"/>
    </font>
    <font>
      <b/>
      <sz val="10"/>
      <color rgb="FFFF0000"/>
      <name val="Times New Roman"/>
      <family val="1"/>
    </font>
    <font>
      <b/>
      <sz val="12"/>
      <color rgb="FFFF0000"/>
      <name val="Times New Roman"/>
      <family val="1"/>
    </font>
    <font>
      <b/>
      <sz val="16"/>
      <color rgb="FFFF0000"/>
      <name val="Times New Roman"/>
      <family val="1"/>
    </font>
    <font>
      <b/>
      <i/>
      <sz val="10"/>
      <color theme="0"/>
      <name val="Times New Roman"/>
      <family val="1"/>
    </font>
    <font>
      <sz val="10"/>
      <color rgb="FFFF0000"/>
      <name val="Times New Roman"/>
      <family val="1"/>
    </font>
    <font>
      <b/>
      <sz val="12"/>
      <color theme="1"/>
      <name val="Arial"/>
      <family val="2"/>
    </font>
    <font>
      <sz val="11"/>
      <color rgb="FF000000"/>
      <name val="Calibri"/>
      <family val="2"/>
    </font>
    <font>
      <b/>
      <sz val="11"/>
      <color theme="1"/>
      <name val="Arial"/>
      <family val="2"/>
    </font>
    <font>
      <sz val="10"/>
      <color rgb="FF006600"/>
      <name val="Times New Roman"/>
      <family val="1"/>
    </font>
    <font>
      <b/>
      <sz val="10"/>
      <color rgb="FF006600"/>
      <name val="Times New Roman"/>
      <family val="1"/>
    </font>
    <font>
      <b/>
      <sz val="10"/>
      <color rgb="FF0000FF"/>
      <name val="Times New Roman"/>
      <family val="1"/>
    </font>
    <font>
      <b/>
      <sz val="11"/>
      <color rgb="FF0000FF"/>
      <name val="Times New Roman"/>
      <family val="1"/>
    </font>
    <font>
      <u/>
      <sz val="10"/>
      <color indexed="12"/>
      <name val="Calibri"/>
      <family val="2"/>
      <scheme val="minor"/>
    </font>
    <font>
      <b/>
      <sz val="12"/>
      <color rgb="FF0000CC"/>
      <name val="Times New Roman"/>
      <family val="1"/>
    </font>
  </fonts>
  <fills count="19">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FFCC"/>
        <bgColor indexed="64"/>
      </patternFill>
    </fill>
    <fill>
      <patternFill patternType="solid">
        <fgColor rgb="FFFFCC00"/>
        <bgColor indexed="64"/>
      </patternFill>
    </fill>
    <fill>
      <patternFill patternType="solid">
        <fgColor rgb="FF99FFCC"/>
        <bgColor indexed="64"/>
      </patternFill>
    </fill>
    <fill>
      <patternFill patternType="solid">
        <fgColor theme="9"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rgb="FFF2F2F2"/>
        <bgColor indexed="64"/>
      </patternFill>
    </fill>
    <fill>
      <patternFill patternType="solid">
        <fgColor theme="8" tint="0.79998168889431442"/>
        <bgColor indexed="64"/>
      </patternFill>
    </fill>
  </fills>
  <borders count="56">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medium">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thin">
        <color indexed="64"/>
      </left>
      <right/>
      <top/>
      <bottom style="medium">
        <color rgb="FF000000"/>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top style="thin">
        <color theme="0" tint="-0.14996795556505021"/>
      </top>
      <bottom style="thin">
        <color theme="0" tint="-0.14996795556505021"/>
      </bottom>
      <diagonal/>
    </border>
    <border>
      <left style="medium">
        <color rgb="FF000000"/>
      </left>
      <right/>
      <top style="thin">
        <color rgb="FF000000"/>
      </top>
      <bottom style="thin">
        <color rgb="FF000000"/>
      </bottom>
      <diagonal/>
    </border>
    <border>
      <left style="medium">
        <color rgb="FF000000"/>
      </left>
      <right style="medium">
        <color theme="0" tint="-0.14996795556505021"/>
      </right>
      <top style="medium">
        <color theme="0" tint="-0.14996795556505021"/>
      </top>
      <bottom style="medium">
        <color theme="0" tint="-0.14996795556505021"/>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rgb="FF000000"/>
      </right>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s>
  <cellStyleXfs count="12">
    <xf numFmtId="0" fontId="0" fillId="0" borderId="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0" fontId="13" fillId="0" borderId="0"/>
    <xf numFmtId="0" fontId="2" fillId="0" borderId="0"/>
    <xf numFmtId="0" fontId="4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cellStyleXfs>
  <cellXfs count="478">
    <xf numFmtId="0" fontId="0" fillId="0" borderId="0" xfId="0"/>
    <xf numFmtId="0" fontId="5" fillId="0" borderId="0" xfId="0" applyFont="1"/>
    <xf numFmtId="0" fontId="5" fillId="0" borderId="1" xfId="0" applyFont="1" applyBorder="1"/>
    <xf numFmtId="3" fontId="5" fillId="0" borderId="0" xfId="0" applyNumberFormat="1" applyFont="1"/>
    <xf numFmtId="41" fontId="5" fillId="0" borderId="0" xfId="0" applyNumberFormat="1" applyFont="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0" fontId="5" fillId="0" borderId="6" xfId="0" applyFont="1" applyBorder="1"/>
    <xf numFmtId="3" fontId="6" fillId="0" borderId="0" xfId="0" applyNumberFormat="1" applyFont="1"/>
    <xf numFmtId="9" fontId="9" fillId="0" borderId="0" xfId="0" applyNumberFormat="1" applyFont="1"/>
    <xf numFmtId="0" fontId="8" fillId="0" borderId="0" xfId="0" applyFont="1"/>
    <xf numFmtId="3" fontId="8" fillId="0" borderId="0" xfId="0" applyNumberFormat="1" applyFont="1" applyAlignment="1">
      <alignment horizontal="left"/>
    </xf>
    <xf numFmtId="0" fontId="7" fillId="0" borderId="7" xfId="0" applyFont="1" applyBorder="1" applyAlignment="1">
      <alignment horizontal="center"/>
    </xf>
    <xf numFmtId="0" fontId="5" fillId="0" borderId="0" xfId="0" applyFont="1" applyAlignment="1">
      <alignment horizontal="center"/>
    </xf>
    <xf numFmtId="41" fontId="12" fillId="0" borderId="0" xfId="0" applyNumberFormat="1" applyFont="1" applyAlignment="1">
      <alignment horizontal="center"/>
    </xf>
    <xf numFmtId="0" fontId="6" fillId="0" borderId="0" xfId="0" applyFont="1"/>
    <xf numFmtId="10" fontId="5" fillId="0" borderId="0" xfId="0" applyNumberFormat="1" applyFont="1"/>
    <xf numFmtId="0" fontId="5" fillId="0" borderId="8" xfId="0" applyFont="1" applyBorder="1"/>
    <xf numFmtId="1" fontId="5" fillId="0" borderId="0" xfId="0" applyNumberFormat="1" applyFont="1"/>
    <xf numFmtId="0" fontId="5" fillId="0" borderId="9" xfId="0" applyFont="1" applyBorder="1"/>
    <xf numFmtId="41" fontId="6" fillId="0" borderId="0" xfId="0" applyNumberFormat="1" applyFont="1"/>
    <xf numFmtId="41" fontId="6" fillId="0" borderId="10" xfId="0" applyNumberFormat="1" applyFont="1" applyBorder="1"/>
    <xf numFmtId="0" fontId="6" fillId="6" borderId="0" xfId="0" applyFont="1" applyFill="1" applyAlignment="1">
      <alignment horizontal="center"/>
    </xf>
    <xf numFmtId="0" fontId="6" fillId="7" borderId="0" xfId="0" applyFont="1" applyFill="1"/>
    <xf numFmtId="0" fontId="18" fillId="0" borderId="2" xfId="8" applyFont="1" applyBorder="1"/>
    <xf numFmtId="0" fontId="18" fillId="0" borderId="3" xfId="8" applyFont="1" applyBorder="1"/>
    <xf numFmtId="0" fontId="19" fillId="0" borderId="3" xfId="8" applyFont="1" applyBorder="1" applyAlignment="1">
      <alignment horizontal="center"/>
    </xf>
    <xf numFmtId="0" fontId="18" fillId="0" borderId="8" xfId="8" applyFont="1" applyBorder="1"/>
    <xf numFmtId="0" fontId="20" fillId="0" borderId="0" xfId="8" applyFont="1" applyProtection="1">
      <protection locked="0"/>
    </xf>
    <xf numFmtId="0" fontId="13" fillId="0" borderId="0" xfId="0" applyFont="1" applyProtection="1">
      <protection locked="0"/>
    </xf>
    <xf numFmtId="0" fontId="0" fillId="0" borderId="0" xfId="0" applyProtection="1">
      <protection locked="0"/>
    </xf>
    <xf numFmtId="0" fontId="18" fillId="0" borderId="4" xfId="8" applyFont="1" applyBorder="1"/>
    <xf numFmtId="0" fontId="21" fillId="0" borderId="0" xfId="8" applyFont="1" applyAlignment="1">
      <alignment horizontal="center"/>
    </xf>
    <xf numFmtId="0" fontId="18" fillId="0" borderId="0" xfId="8" applyFont="1"/>
    <xf numFmtId="0" fontId="22" fillId="0" borderId="0" xfId="8" applyFont="1"/>
    <xf numFmtId="0" fontId="18" fillId="0" borderId="5" xfId="8" applyFont="1" applyBorder="1"/>
    <xf numFmtId="0" fontId="20" fillId="0" borderId="4" xfId="8" applyFont="1" applyBorder="1"/>
    <xf numFmtId="0" fontId="20" fillId="0" borderId="0" xfId="8" applyFont="1"/>
    <xf numFmtId="0" fontId="20" fillId="0" borderId="5" xfId="8" applyFont="1" applyBorder="1"/>
    <xf numFmtId="0" fontId="0" fillId="0" borderId="5" xfId="0" applyBorder="1"/>
    <xf numFmtId="0" fontId="24" fillId="2" borderId="4" xfId="8" applyFont="1" applyFill="1" applyBorder="1" applyAlignment="1">
      <alignment horizontal="center"/>
    </xf>
    <xf numFmtId="0" fontId="24" fillId="2" borderId="0" xfId="8" applyFont="1" applyFill="1" applyAlignment="1">
      <alignment horizontal="center"/>
    </xf>
    <xf numFmtId="0" fontId="24" fillId="2" borderId="0" xfId="8" applyFont="1" applyFill="1"/>
    <xf numFmtId="0" fontId="24" fillId="2" borderId="5" xfId="8" applyFont="1" applyFill="1" applyBorder="1" applyAlignment="1">
      <alignment horizontal="center"/>
    </xf>
    <xf numFmtId="0" fontId="18" fillId="0" borderId="0" xfId="8" applyFont="1" applyProtection="1">
      <protection locked="0"/>
    </xf>
    <xf numFmtId="0" fontId="24" fillId="2" borderId="11" xfId="8" applyFont="1" applyFill="1" applyBorder="1" applyAlignment="1">
      <alignment horizontal="center"/>
    </xf>
    <xf numFmtId="0" fontId="24" fillId="2" borderId="10" xfId="8" applyFont="1" applyFill="1" applyBorder="1" applyAlignment="1">
      <alignment horizontal="center"/>
    </xf>
    <xf numFmtId="0" fontId="25" fillId="2" borderId="0" xfId="8" applyFont="1" applyFill="1"/>
    <xf numFmtId="0" fontId="24" fillId="2" borderId="12" xfId="8" applyFont="1" applyFill="1" applyBorder="1" applyAlignment="1">
      <alignment horizontal="center"/>
    </xf>
    <xf numFmtId="0" fontId="25" fillId="2" borderId="5" xfId="8" applyFont="1" applyFill="1" applyBorder="1"/>
    <xf numFmtId="0" fontId="23" fillId="0" borderId="0" xfId="8" applyFont="1" applyAlignment="1">
      <alignment horizontal="center"/>
    </xf>
    <xf numFmtId="0" fontId="25" fillId="2" borderId="0" xfId="8" applyFont="1" applyFill="1" applyAlignment="1">
      <alignment horizontal="center"/>
    </xf>
    <xf numFmtId="0" fontId="24" fillId="2" borderId="0" xfId="8" applyFont="1" applyFill="1" applyAlignment="1">
      <alignment horizontal="right"/>
    </xf>
    <xf numFmtId="0" fontId="24" fillId="2" borderId="5" xfId="8" applyFont="1" applyFill="1" applyBorder="1" applyAlignment="1">
      <alignment horizontal="right"/>
    </xf>
    <xf numFmtId="13" fontId="20" fillId="0" borderId="0" xfId="8" applyNumberFormat="1" applyFont="1" applyAlignment="1">
      <alignment horizontal="center"/>
    </xf>
    <xf numFmtId="13" fontId="20" fillId="0" borderId="0" xfId="8" quotePrefix="1" applyNumberFormat="1" applyFont="1" applyAlignment="1">
      <alignment horizontal="center"/>
    </xf>
    <xf numFmtId="13" fontId="20" fillId="0" borderId="0" xfId="8" applyNumberFormat="1" applyFont="1" applyAlignment="1" applyProtection="1">
      <alignment horizontal="center"/>
      <protection locked="0"/>
    </xf>
    <xf numFmtId="167" fontId="21" fillId="8" borderId="13" xfId="8" applyNumberFormat="1" applyFont="1" applyFill="1" applyBorder="1" applyAlignment="1" applyProtection="1">
      <alignment horizontal="center"/>
      <protection locked="0"/>
    </xf>
    <xf numFmtId="2" fontId="21" fillId="9" borderId="14" xfId="8" applyNumberFormat="1" applyFont="1" applyFill="1" applyBorder="1"/>
    <xf numFmtId="2" fontId="21" fillId="3" borderId="0" xfId="8" applyNumberFormat="1" applyFont="1" applyFill="1"/>
    <xf numFmtId="0" fontId="21" fillId="8" borderId="15" xfId="8" applyFont="1" applyFill="1" applyBorder="1" applyProtection="1">
      <protection locked="0"/>
    </xf>
    <xf numFmtId="2" fontId="21" fillId="9" borderId="14" xfId="8" applyNumberFormat="1" applyFont="1" applyFill="1" applyBorder="1" applyAlignment="1">
      <alignment horizontal="right"/>
    </xf>
    <xf numFmtId="0" fontId="21" fillId="3" borderId="14" xfId="8" applyFont="1" applyFill="1" applyBorder="1"/>
    <xf numFmtId="2" fontId="21" fillId="9" borderId="16" xfId="8" applyNumberFormat="1" applyFont="1" applyFill="1" applyBorder="1"/>
    <xf numFmtId="2" fontId="0" fillId="0" borderId="0" xfId="0" applyNumberFormat="1" applyAlignment="1">
      <alignment horizontal="center"/>
    </xf>
    <xf numFmtId="0" fontId="18" fillId="3" borderId="17" xfId="8" applyFont="1" applyFill="1" applyBorder="1"/>
    <xf numFmtId="2" fontId="18" fillId="3" borderId="6" xfId="8" applyNumberFormat="1" applyFont="1" applyFill="1" applyBorder="1"/>
    <xf numFmtId="0" fontId="18" fillId="3" borderId="6" xfId="8" applyFont="1" applyFill="1" applyBorder="1"/>
    <xf numFmtId="2" fontId="18" fillId="3" borderId="9" xfId="8" applyNumberFormat="1" applyFont="1" applyFill="1" applyBorder="1"/>
    <xf numFmtId="2" fontId="18" fillId="0" borderId="0" xfId="8" applyNumberFormat="1" applyFont="1"/>
    <xf numFmtId="2" fontId="18" fillId="0" borderId="5" xfId="8" applyNumberFormat="1" applyFont="1" applyBorder="1"/>
    <xf numFmtId="0" fontId="26" fillId="0" borderId="4" xfId="8" applyFont="1" applyBorder="1"/>
    <xf numFmtId="2" fontId="26" fillId="0" borderId="0" xfId="8" applyNumberFormat="1" applyFont="1"/>
    <xf numFmtId="0" fontId="26" fillId="0" borderId="0" xfId="8" applyFont="1"/>
    <xf numFmtId="0" fontId="26" fillId="0" borderId="5" xfId="8" applyFont="1" applyBorder="1"/>
    <xf numFmtId="0" fontId="25" fillId="2" borderId="4" xfId="8" applyFont="1" applyFill="1" applyBorder="1"/>
    <xf numFmtId="0" fontId="18" fillId="2" borderId="4" xfId="8" applyFont="1" applyFill="1" applyBorder="1" applyAlignment="1">
      <alignment horizontal="right"/>
    </xf>
    <xf numFmtId="0" fontId="22" fillId="2" borderId="0" xfId="8" applyFont="1" applyFill="1" applyAlignment="1">
      <alignment horizontal="right"/>
    </xf>
    <xf numFmtId="0" fontId="18" fillId="2" borderId="0" xfId="8" applyFont="1" applyFill="1" applyAlignment="1">
      <alignment horizontal="right"/>
    </xf>
    <xf numFmtId="0" fontId="22" fillId="2" borderId="0" xfId="8" applyFont="1" applyFill="1"/>
    <xf numFmtId="0" fontId="25" fillId="2" borderId="12" xfId="8" applyFont="1" applyFill="1" applyBorder="1" applyAlignment="1">
      <alignment horizontal="center"/>
    </xf>
    <xf numFmtId="0" fontId="21" fillId="10" borderId="13" xfId="8" applyFont="1" applyFill="1" applyBorder="1" applyProtection="1">
      <protection locked="0"/>
    </xf>
    <xf numFmtId="168" fontId="21" fillId="9" borderId="14" xfId="8" applyNumberFormat="1" applyFont="1" applyFill="1" applyBorder="1" applyAlignment="1">
      <alignment horizontal="center"/>
    </xf>
    <xf numFmtId="0" fontId="21" fillId="10" borderId="15" xfId="8" applyFont="1" applyFill="1" applyBorder="1" applyProtection="1">
      <protection locked="0"/>
    </xf>
    <xf numFmtId="168" fontId="21" fillId="9" borderId="14" xfId="8" applyNumberFormat="1" applyFont="1" applyFill="1" applyBorder="1"/>
    <xf numFmtId="168" fontId="21" fillId="9" borderId="16" xfId="8" applyNumberFormat="1" applyFont="1" applyFill="1" applyBorder="1"/>
    <xf numFmtId="2" fontId="26" fillId="0" borderId="0" xfId="8" applyNumberFormat="1" applyFont="1" applyProtection="1">
      <protection locked="0"/>
    </xf>
    <xf numFmtId="2" fontId="18" fillId="0" borderId="0" xfId="8" applyNumberFormat="1" applyFont="1" applyProtection="1">
      <protection locked="0"/>
    </xf>
    <xf numFmtId="43" fontId="5" fillId="0" borderId="0" xfId="0" applyNumberFormat="1" applyFont="1"/>
    <xf numFmtId="0" fontId="6" fillId="7" borderId="14" xfId="0" applyFont="1" applyFill="1" applyBorder="1"/>
    <xf numFmtId="0" fontId="6" fillId="7" borderId="18" xfId="0" applyFont="1" applyFill="1" applyBorder="1"/>
    <xf numFmtId="0" fontId="6" fillId="7" borderId="19" xfId="0" applyFont="1" applyFill="1" applyBorder="1" applyAlignment="1">
      <alignment horizontal="right"/>
    </xf>
    <xf numFmtId="0" fontId="5" fillId="7" borderId="0" xfId="0" applyFont="1" applyFill="1"/>
    <xf numFmtId="0" fontId="0" fillId="0" borderId="1" xfId="0" applyBorder="1"/>
    <xf numFmtId="43" fontId="43" fillId="0" borderId="0" xfId="1" applyFont="1" applyFill="1" applyBorder="1"/>
    <xf numFmtId="43" fontId="5" fillId="0" borderId="0" xfId="1" applyFont="1" applyFill="1" applyBorder="1" applyAlignment="1"/>
    <xf numFmtId="10" fontId="5" fillId="0" borderId="0" xfId="9" applyNumberFormat="1" applyFont="1" applyFill="1" applyBorder="1"/>
    <xf numFmtId="0" fontId="0" fillId="0" borderId="20" xfId="0" applyBorder="1"/>
    <xf numFmtId="43" fontId="44" fillId="11" borderId="21" xfId="1" applyFont="1" applyFill="1" applyBorder="1"/>
    <xf numFmtId="43" fontId="44" fillId="7" borderId="22" xfId="1" applyFont="1" applyFill="1" applyBorder="1"/>
    <xf numFmtId="44" fontId="43" fillId="12" borderId="22" xfId="1" applyNumberFormat="1" applyFont="1" applyFill="1" applyBorder="1"/>
    <xf numFmtId="43" fontId="43" fillId="7" borderId="21" xfId="1" applyFont="1" applyFill="1" applyBorder="1"/>
    <xf numFmtId="43" fontId="43" fillId="7" borderId="23" xfId="1" applyFont="1" applyFill="1" applyBorder="1"/>
    <xf numFmtId="44" fontId="43" fillId="7" borderId="22" xfId="1" applyNumberFormat="1" applyFont="1" applyFill="1" applyBorder="1"/>
    <xf numFmtId="43" fontId="5" fillId="0" borderId="0" xfId="1" applyFont="1" applyFill="1" applyBorder="1" applyAlignment="1">
      <alignment horizontal="center"/>
    </xf>
    <xf numFmtId="43" fontId="43" fillId="7" borderId="1" xfId="1" applyFont="1" applyFill="1" applyBorder="1"/>
    <xf numFmtId="43" fontId="43" fillId="7" borderId="0" xfId="1" applyFont="1" applyFill="1" applyBorder="1"/>
    <xf numFmtId="44" fontId="6" fillId="7" borderId="15" xfId="1" applyNumberFormat="1" applyFont="1" applyFill="1" applyBorder="1" applyAlignment="1">
      <alignment horizontal="center"/>
    </xf>
    <xf numFmtId="44" fontId="6" fillId="0" borderId="0" xfId="1" applyNumberFormat="1" applyFont="1" applyFill="1" applyBorder="1" applyAlignment="1">
      <alignment horizontal="center"/>
    </xf>
    <xf numFmtId="37" fontId="6" fillId="12" borderId="15" xfId="1" applyNumberFormat="1" applyFont="1" applyFill="1" applyBorder="1" applyAlignment="1">
      <alignment horizontal="center"/>
    </xf>
    <xf numFmtId="44" fontId="43" fillId="12" borderId="24" xfId="1" applyNumberFormat="1" applyFont="1" applyFill="1" applyBorder="1"/>
    <xf numFmtId="43" fontId="43" fillId="7" borderId="22" xfId="1" applyFont="1" applyFill="1" applyBorder="1"/>
    <xf numFmtId="44" fontId="43" fillId="7" borderId="25" xfId="1" applyNumberFormat="1" applyFont="1" applyFill="1" applyBorder="1"/>
    <xf numFmtId="43" fontId="5" fillId="0" borderId="0" xfId="1" applyFont="1" applyFill="1" applyBorder="1"/>
    <xf numFmtId="44" fontId="43" fillId="7" borderId="15" xfId="1" applyNumberFormat="1" applyFont="1" applyFill="1" applyBorder="1"/>
    <xf numFmtId="10" fontId="43" fillId="7" borderId="15" xfId="1" applyNumberFormat="1" applyFont="1" applyFill="1" applyBorder="1"/>
    <xf numFmtId="44" fontId="43" fillId="7" borderId="23" xfId="1" applyNumberFormat="1" applyFont="1" applyFill="1" applyBorder="1"/>
    <xf numFmtId="43" fontId="43" fillId="7" borderId="15" xfId="1" applyFont="1" applyFill="1" applyBorder="1" applyAlignment="1">
      <alignment horizontal="center"/>
    </xf>
    <xf numFmtId="43" fontId="44" fillId="7" borderId="0" xfId="1" applyFont="1" applyFill="1" applyBorder="1"/>
    <xf numFmtId="10" fontId="44" fillId="7" borderId="0" xfId="9" applyNumberFormat="1" applyFont="1" applyFill="1" applyBorder="1" applyAlignment="1">
      <alignment horizontal="right"/>
    </xf>
    <xf numFmtId="10" fontId="43" fillId="12" borderId="15" xfId="9" applyNumberFormat="1" applyFont="1" applyFill="1" applyBorder="1"/>
    <xf numFmtId="43" fontId="5" fillId="7" borderId="23" xfId="1" applyFont="1" applyFill="1" applyBorder="1" applyAlignment="1">
      <alignment horizontal="center"/>
    </xf>
    <xf numFmtId="0" fontId="0" fillId="7" borderId="23" xfId="0" applyFill="1" applyBorder="1"/>
    <xf numFmtId="10" fontId="5" fillId="7" borderId="23" xfId="9" applyNumberFormat="1" applyFont="1" applyFill="1" applyBorder="1"/>
    <xf numFmtId="0" fontId="5" fillId="7" borderId="22" xfId="0" applyFont="1" applyFill="1" applyBorder="1"/>
    <xf numFmtId="170" fontId="43" fillId="7" borderId="15" xfId="1" applyNumberFormat="1" applyFont="1" applyFill="1" applyBorder="1"/>
    <xf numFmtId="42" fontId="6" fillId="7" borderId="15" xfId="1" applyNumberFormat="1" applyFont="1" applyFill="1" applyBorder="1"/>
    <xf numFmtId="0" fontId="6" fillId="0" borderId="0" xfId="0" applyFont="1" applyAlignment="1">
      <alignment horizontal="left"/>
    </xf>
    <xf numFmtId="0" fontId="6" fillId="0" borderId="1" xfId="0" applyFont="1" applyBorder="1"/>
    <xf numFmtId="43" fontId="43" fillId="0" borderId="0" xfId="1" applyFont="1" applyFill="1" applyBorder="1" applyAlignment="1">
      <alignment horizontal="left"/>
    </xf>
    <xf numFmtId="0" fontId="0" fillId="0" borderId="26" xfId="0" applyBorder="1"/>
    <xf numFmtId="44" fontId="0" fillId="0" borderId="0" xfId="0" applyNumberFormat="1"/>
    <xf numFmtId="0" fontId="6" fillId="10" borderId="0" xfId="0" applyFont="1" applyFill="1"/>
    <xf numFmtId="169" fontId="5" fillId="0" borderId="0" xfId="0" applyNumberFormat="1" applyFont="1"/>
    <xf numFmtId="0" fontId="16" fillId="7" borderId="19" xfId="0" applyFont="1" applyFill="1" applyBorder="1"/>
    <xf numFmtId="0" fontId="16" fillId="7" borderId="0" xfId="0" applyFont="1" applyFill="1"/>
    <xf numFmtId="0" fontId="16" fillId="7" borderId="27" xfId="0" applyFont="1" applyFill="1" applyBorder="1"/>
    <xf numFmtId="0" fontId="16" fillId="7" borderId="10" xfId="0" applyFont="1" applyFill="1" applyBorder="1"/>
    <xf numFmtId="0" fontId="16" fillId="7" borderId="14" xfId="0" applyFont="1" applyFill="1" applyBorder="1"/>
    <xf numFmtId="0" fontId="16" fillId="7" borderId="18" xfId="0" applyFont="1" applyFill="1" applyBorder="1"/>
    <xf numFmtId="0" fontId="16" fillId="7" borderId="1" xfId="0" applyFont="1" applyFill="1" applyBorder="1"/>
    <xf numFmtId="0" fontId="16" fillId="7" borderId="20" xfId="0" applyFont="1" applyFill="1" applyBorder="1"/>
    <xf numFmtId="0" fontId="16" fillId="7" borderId="26" xfId="0" applyFont="1" applyFill="1" applyBorder="1"/>
    <xf numFmtId="0" fontId="31" fillId="7" borderId="14" xfId="0" applyFont="1" applyFill="1" applyBorder="1"/>
    <xf numFmtId="172" fontId="6" fillId="0" borderId="15" xfId="3" applyNumberFormat="1" applyFont="1" applyFill="1" applyBorder="1"/>
    <xf numFmtId="172" fontId="6" fillId="7" borderId="28" xfId="3" applyNumberFormat="1" applyFont="1" applyFill="1" applyBorder="1"/>
    <xf numFmtId="0" fontId="45" fillId="10" borderId="28" xfId="0" applyFont="1" applyFill="1" applyBorder="1" applyAlignment="1">
      <alignment horizontal="center"/>
    </xf>
    <xf numFmtId="173" fontId="5" fillId="0" borderId="0" xfId="0" applyNumberFormat="1" applyFont="1"/>
    <xf numFmtId="0" fontId="6" fillId="7" borderId="0" xfId="0" applyFont="1" applyFill="1" applyAlignment="1">
      <alignment horizontal="center"/>
    </xf>
    <xf numFmtId="0" fontId="46" fillId="10" borderId="21" xfId="0" applyFont="1" applyFill="1" applyBorder="1"/>
    <xf numFmtId="43" fontId="45" fillId="10" borderId="23" xfId="1" applyFont="1" applyFill="1" applyBorder="1"/>
    <xf numFmtId="3" fontId="45" fillId="10" borderId="23" xfId="0" applyNumberFormat="1" applyFont="1" applyFill="1" applyBorder="1"/>
    <xf numFmtId="0" fontId="45" fillId="10" borderId="23" xfId="0" applyFont="1" applyFill="1" applyBorder="1"/>
    <xf numFmtId="172" fontId="45" fillId="10" borderId="15" xfId="3" applyNumberFormat="1" applyFont="1" applyFill="1" applyBorder="1"/>
    <xf numFmtId="172" fontId="6" fillId="7" borderId="15" xfId="3" applyNumberFormat="1" applyFont="1" applyFill="1" applyBorder="1"/>
    <xf numFmtId="0" fontId="15" fillId="7" borderId="1" xfId="0" applyFont="1" applyFill="1" applyBorder="1"/>
    <xf numFmtId="0" fontId="6" fillId="0" borderId="0" xfId="0" applyFont="1" applyAlignment="1">
      <alignment horizontal="center"/>
    </xf>
    <xf numFmtId="0" fontId="15" fillId="0" borderId="1" xfId="0" applyFont="1" applyBorder="1"/>
    <xf numFmtId="172" fontId="6" fillId="7" borderId="24" xfId="3" applyNumberFormat="1" applyFont="1" applyFill="1" applyBorder="1"/>
    <xf numFmtId="172" fontId="6" fillId="7" borderId="25" xfId="3" applyNumberFormat="1" applyFont="1" applyFill="1" applyBorder="1"/>
    <xf numFmtId="0" fontId="5" fillId="10" borderId="21" xfId="0" applyFont="1" applyFill="1" applyBorder="1"/>
    <xf numFmtId="0" fontId="5" fillId="10" borderId="23" xfId="0" applyFont="1" applyFill="1" applyBorder="1"/>
    <xf numFmtId="0" fontId="6" fillId="10" borderId="22" xfId="0" applyFont="1" applyFill="1" applyBorder="1"/>
    <xf numFmtId="0" fontId="15" fillId="7" borderId="21" xfId="0" applyFont="1" applyFill="1" applyBorder="1"/>
    <xf numFmtId="0" fontId="6" fillId="7" borderId="23" xfId="0" applyFont="1" applyFill="1" applyBorder="1"/>
    <xf numFmtId="0" fontId="6" fillId="7" borderId="22" xfId="0" applyFont="1" applyFill="1" applyBorder="1"/>
    <xf numFmtId="0" fontId="6" fillId="10" borderId="15" xfId="0" applyFont="1" applyFill="1" applyBorder="1" applyAlignment="1">
      <alignment horizontal="center"/>
    </xf>
    <xf numFmtId="0" fontId="2" fillId="0" borderId="0" xfId="6"/>
    <xf numFmtId="43" fontId="2" fillId="0" borderId="0" xfId="6" applyNumberFormat="1"/>
    <xf numFmtId="164" fontId="2" fillId="0" borderId="0" xfId="10" applyNumberFormat="1" applyFont="1"/>
    <xf numFmtId="0" fontId="47" fillId="13" borderId="15" xfId="0" applyFont="1" applyFill="1" applyBorder="1" applyAlignment="1" applyProtection="1">
      <alignment horizontal="center"/>
      <protection locked="0"/>
    </xf>
    <xf numFmtId="0" fontId="15" fillId="10" borderId="23" xfId="0" applyFont="1" applyFill="1" applyBorder="1" applyProtection="1">
      <protection locked="0"/>
    </xf>
    <xf numFmtId="0" fontId="16" fillId="10" borderId="23" xfId="0" applyFont="1" applyFill="1" applyBorder="1" applyProtection="1">
      <protection locked="0"/>
    </xf>
    <xf numFmtId="0" fontId="5" fillId="10" borderId="22" xfId="0" applyFont="1" applyFill="1" applyBorder="1" applyProtection="1">
      <protection locked="0"/>
    </xf>
    <xf numFmtId="0" fontId="47" fillId="0" borderId="0" xfId="0" applyFont="1" applyAlignment="1" applyProtection="1">
      <alignment horizontal="center"/>
      <protection locked="0"/>
    </xf>
    <xf numFmtId="0" fontId="46" fillId="7" borderId="0" xfId="0" applyFont="1" applyFill="1" applyAlignment="1" applyProtection="1">
      <alignment vertical="center"/>
      <protection locked="0"/>
    </xf>
    <xf numFmtId="0" fontId="16" fillId="7" borderId="0" xfId="0" applyFont="1" applyFill="1" applyProtection="1">
      <protection locked="0"/>
    </xf>
    <xf numFmtId="0" fontId="5" fillId="7" borderId="0" xfId="0" applyFont="1" applyFill="1" applyProtection="1">
      <protection locked="0"/>
    </xf>
    <xf numFmtId="0" fontId="5" fillId="0" borderId="0" xfId="0" applyFont="1" applyProtection="1">
      <protection locked="0"/>
    </xf>
    <xf numFmtId="0" fontId="6" fillId="7" borderId="0" xfId="0" applyFont="1" applyFill="1" applyAlignment="1" applyProtection="1">
      <alignment horizontal="right"/>
      <protection locked="0"/>
    </xf>
    <xf numFmtId="0" fontId="6" fillId="6" borderId="0" xfId="0" applyFont="1" applyFill="1" applyAlignment="1" applyProtection="1">
      <alignment horizontal="left"/>
      <protection locked="0"/>
    </xf>
    <xf numFmtId="0" fontId="45" fillId="0" borderId="0" xfId="0" applyFont="1" applyAlignment="1" applyProtection="1">
      <alignment horizontal="left"/>
      <protection locked="0"/>
    </xf>
    <xf numFmtId="0" fontId="6" fillId="0" borderId="0" xfId="0" applyFont="1" applyProtection="1">
      <protection locked="0"/>
    </xf>
    <xf numFmtId="14" fontId="6" fillId="0" borderId="0" xfId="0" applyNumberFormat="1" applyFont="1" applyProtection="1">
      <protection locked="0"/>
    </xf>
    <xf numFmtId="0" fontId="45" fillId="7" borderId="0" xfId="0" applyFont="1" applyFill="1" applyProtection="1">
      <protection locked="0"/>
    </xf>
    <xf numFmtId="0" fontId="6" fillId="0" borderId="0" xfId="0" applyFont="1" applyAlignment="1" applyProtection="1">
      <alignment horizontal="center"/>
      <protection locked="0"/>
    </xf>
    <xf numFmtId="0" fontId="6" fillId="0" borderId="1" xfId="0" applyFont="1" applyBorder="1" applyAlignment="1" applyProtection="1">
      <alignment horizontal="center"/>
      <protection locked="0"/>
    </xf>
    <xf numFmtId="0" fontId="45" fillId="0" borderId="0" xfId="0" applyFont="1" applyProtection="1">
      <protection locked="0"/>
    </xf>
    <xf numFmtId="165" fontId="5" fillId="7" borderId="0" xfId="0" applyNumberFormat="1" applyFont="1" applyFill="1" applyProtection="1">
      <protection locked="0"/>
    </xf>
    <xf numFmtId="0" fontId="5" fillId="0" borderId="1" xfId="0" applyFont="1" applyBorder="1" applyProtection="1">
      <protection locked="0"/>
    </xf>
    <xf numFmtId="3" fontId="10" fillId="0" borderId="0" xfId="0" applyNumberFormat="1" applyFont="1" applyProtection="1">
      <protection locked="0"/>
    </xf>
    <xf numFmtId="0" fontId="5" fillId="0" borderId="0" xfId="0" applyFont="1" applyAlignment="1" applyProtection="1">
      <alignment horizontal="center"/>
      <protection locked="0"/>
    </xf>
    <xf numFmtId="3" fontId="5" fillId="0" borderId="0" xfId="0" applyNumberFormat="1" applyFont="1" applyAlignment="1" applyProtection="1">
      <alignment horizontal="center"/>
      <protection locked="0"/>
    </xf>
    <xf numFmtId="3" fontId="5" fillId="0" borderId="0" xfId="0" quotePrefix="1" applyNumberFormat="1" applyFont="1" applyAlignment="1" applyProtection="1">
      <alignment horizontal="center"/>
      <protection locked="0"/>
    </xf>
    <xf numFmtId="3" fontId="5" fillId="0" borderId="0" xfId="0" applyNumberFormat="1" applyFont="1" applyProtection="1">
      <protection locked="0"/>
    </xf>
    <xf numFmtId="3" fontId="5" fillId="0" borderId="1" xfId="0" applyNumberFormat="1" applyFont="1" applyBorder="1" applyProtection="1">
      <protection locked="0"/>
    </xf>
    <xf numFmtId="41" fontId="5" fillId="0" borderId="0" xfId="0" applyNumberFormat="1" applyFont="1" applyProtection="1">
      <protection locked="0"/>
    </xf>
    <xf numFmtId="2" fontId="5" fillId="0" borderId="0" xfId="0" applyNumberFormat="1" applyFont="1" applyProtection="1">
      <protection locked="0"/>
    </xf>
    <xf numFmtId="169" fontId="5" fillId="0" borderId="0" xfId="1" applyNumberFormat="1" applyFont="1" applyProtection="1">
      <protection locked="0"/>
    </xf>
    <xf numFmtId="169" fontId="5" fillId="0" borderId="1" xfId="1" applyNumberFormat="1" applyFont="1" applyBorder="1" applyProtection="1">
      <protection locked="0"/>
    </xf>
    <xf numFmtId="0" fontId="5" fillId="0" borderId="0" xfId="0" applyFont="1" applyAlignment="1" applyProtection="1">
      <alignment horizontal="left"/>
      <protection locked="0"/>
    </xf>
    <xf numFmtId="3" fontId="6" fillId="0" borderId="0" xfId="0" applyNumberFormat="1" applyFont="1" applyProtection="1">
      <protection locked="0"/>
    </xf>
    <xf numFmtId="169" fontId="5" fillId="2" borderId="1" xfId="1" applyNumberFormat="1" applyFont="1" applyFill="1" applyBorder="1" applyProtection="1">
      <protection locked="0"/>
    </xf>
    <xf numFmtId="1" fontId="5" fillId="0" borderId="0" xfId="0" applyNumberFormat="1" applyFont="1" applyProtection="1">
      <protection locked="0"/>
    </xf>
    <xf numFmtId="169" fontId="5" fillId="0" borderId="0" xfId="1" applyNumberFormat="1" applyFont="1" applyFill="1" applyProtection="1">
      <protection locked="0"/>
    </xf>
    <xf numFmtId="169" fontId="5" fillId="0" borderId="1" xfId="1" applyNumberFormat="1" applyFont="1" applyFill="1" applyBorder="1" applyProtection="1">
      <protection locked="0"/>
    </xf>
    <xf numFmtId="169" fontId="5" fillId="0" borderId="0" xfId="1" applyNumberFormat="1" applyFont="1" applyBorder="1" applyProtection="1">
      <protection locked="0"/>
    </xf>
    <xf numFmtId="41" fontId="17" fillId="7" borderId="0" xfId="0" quotePrefix="1" applyNumberFormat="1" applyFont="1" applyFill="1" applyProtection="1">
      <protection locked="0"/>
    </xf>
    <xf numFmtId="0" fontId="48" fillId="0" borderId="0" xfId="0" applyFont="1" applyAlignment="1" applyProtection="1">
      <alignment horizontal="center"/>
      <protection locked="0"/>
    </xf>
    <xf numFmtId="0" fontId="5" fillId="0" borderId="0" xfId="0" applyFont="1" applyAlignment="1" applyProtection="1">
      <alignment horizontal="right"/>
      <protection locked="0"/>
    </xf>
    <xf numFmtId="3" fontId="5" fillId="4" borderId="15" xfId="0" applyNumberFormat="1" applyFont="1" applyFill="1" applyBorder="1" applyAlignment="1" applyProtection="1">
      <alignment horizontal="center"/>
      <protection locked="0"/>
    </xf>
    <xf numFmtId="3" fontId="8" fillId="0" borderId="0" xfId="0" applyNumberFormat="1" applyFont="1" applyAlignment="1" applyProtection="1">
      <alignment horizontal="center"/>
      <protection locked="0"/>
    </xf>
    <xf numFmtId="3" fontId="30" fillId="0" borderId="23" xfId="0" applyNumberFormat="1" applyFont="1" applyBorder="1" applyProtection="1">
      <protection locked="0"/>
    </xf>
    <xf numFmtId="3" fontId="30" fillId="0" borderId="23" xfId="0" applyNumberFormat="1" applyFont="1" applyBorder="1" applyAlignment="1" applyProtection="1">
      <alignment horizontal="right"/>
      <protection locked="0"/>
    </xf>
    <xf numFmtId="169" fontId="6" fillId="0" borderId="23" xfId="1" applyNumberFormat="1" applyFont="1" applyBorder="1" applyProtection="1">
      <protection locked="0"/>
    </xf>
    <xf numFmtId="169" fontId="6" fillId="0" borderId="21" xfId="1" applyNumberFormat="1" applyFont="1" applyBorder="1" applyProtection="1">
      <protection locked="0"/>
    </xf>
    <xf numFmtId="9" fontId="5" fillId="0" borderId="0" xfId="0" applyNumberFormat="1" applyFont="1" applyProtection="1">
      <protection locked="0"/>
    </xf>
    <xf numFmtId="3" fontId="5" fillId="0" borderId="0" xfId="0" applyNumberFormat="1" applyFont="1" applyAlignment="1" applyProtection="1">
      <alignment horizontal="left"/>
      <protection locked="0"/>
    </xf>
    <xf numFmtId="41" fontId="11" fillId="0" borderId="0" xfId="0" applyNumberFormat="1" applyFont="1" applyAlignment="1" applyProtection="1">
      <alignment horizontal="right"/>
      <protection locked="0"/>
    </xf>
    <xf numFmtId="41" fontId="5" fillId="7" borderId="0" xfId="0" applyNumberFormat="1" applyFont="1" applyFill="1" applyProtection="1">
      <protection locked="0"/>
    </xf>
    <xf numFmtId="169" fontId="5" fillId="7" borderId="0" xfId="1" applyNumberFormat="1" applyFont="1" applyFill="1" applyBorder="1" applyProtection="1">
      <protection locked="0"/>
    </xf>
    <xf numFmtId="3" fontId="5" fillId="0" borderId="0" xfId="0" applyNumberFormat="1" applyFont="1" applyAlignment="1" applyProtection="1">
      <alignment horizontal="right"/>
      <protection locked="0"/>
    </xf>
    <xf numFmtId="169" fontId="5" fillId="0" borderId="10" xfId="1" applyNumberFormat="1" applyFont="1" applyBorder="1" applyProtection="1">
      <protection locked="0"/>
    </xf>
    <xf numFmtId="169" fontId="5" fillId="0" borderId="27" xfId="1" applyNumberFormat="1" applyFont="1" applyBorder="1" applyProtection="1">
      <protection locked="0"/>
    </xf>
    <xf numFmtId="3" fontId="8" fillId="0" borderId="0" xfId="0" applyNumberFormat="1" applyFont="1" applyProtection="1">
      <protection locked="0"/>
    </xf>
    <xf numFmtId="41" fontId="6" fillId="0" borderId="23" xfId="0" applyNumberFormat="1" applyFont="1" applyBorder="1" applyProtection="1">
      <protection locked="0"/>
    </xf>
    <xf numFmtId="3" fontId="6" fillId="0" borderId="0" xfId="0" applyNumberFormat="1" applyFont="1" applyAlignment="1" applyProtection="1">
      <alignment horizontal="right"/>
      <protection locked="0"/>
    </xf>
    <xf numFmtId="9" fontId="6" fillId="0" borderId="0" xfId="0" applyNumberFormat="1" applyFont="1" applyProtection="1">
      <protection locked="0"/>
    </xf>
    <xf numFmtId="169" fontId="6" fillId="0" borderId="0" xfId="1" applyNumberFormat="1" applyFont="1" applyProtection="1">
      <protection locked="0"/>
    </xf>
    <xf numFmtId="3" fontId="6" fillId="5" borderId="0" xfId="0" applyNumberFormat="1" applyFont="1" applyFill="1" applyAlignment="1" applyProtection="1">
      <alignment horizontal="right"/>
      <protection locked="0"/>
    </xf>
    <xf numFmtId="3" fontId="6" fillId="5" borderId="0" xfId="0" applyNumberFormat="1" applyFont="1" applyFill="1" applyProtection="1">
      <protection locked="0"/>
    </xf>
    <xf numFmtId="169" fontId="6" fillId="5" borderId="0" xfId="1" applyNumberFormat="1" applyFont="1" applyFill="1" applyProtection="1">
      <protection locked="0"/>
    </xf>
    <xf numFmtId="169" fontId="6" fillId="5" borderId="1" xfId="1" applyNumberFormat="1" applyFont="1" applyFill="1" applyBorder="1" applyProtection="1">
      <protection locked="0"/>
    </xf>
    <xf numFmtId="169" fontId="6" fillId="0" borderId="0" xfId="1" applyNumberFormat="1" applyFont="1" applyFill="1" applyProtection="1">
      <protection locked="0"/>
    </xf>
    <xf numFmtId="169" fontId="6" fillId="0" borderId="1" xfId="1" applyNumberFormat="1" applyFont="1" applyFill="1" applyBorder="1" applyProtection="1">
      <protection locked="0"/>
    </xf>
    <xf numFmtId="3" fontId="6" fillId="0" borderId="0" xfId="0" applyNumberFormat="1" applyFont="1" applyAlignment="1" applyProtection="1">
      <alignment horizontal="left"/>
      <protection locked="0"/>
    </xf>
    <xf numFmtId="3" fontId="30" fillId="0" borderId="0" xfId="0" applyNumberFormat="1" applyFont="1" applyAlignment="1" applyProtection="1">
      <alignment horizontal="right"/>
      <protection locked="0"/>
    </xf>
    <xf numFmtId="169" fontId="6" fillId="0" borderId="14" xfId="1" applyNumberFormat="1" applyFont="1" applyBorder="1" applyProtection="1">
      <protection locked="0"/>
    </xf>
    <xf numFmtId="169" fontId="6" fillId="0" borderId="18" xfId="1" applyNumberFormat="1" applyFont="1" applyBorder="1" applyProtection="1">
      <protection locked="0"/>
    </xf>
    <xf numFmtId="169" fontId="6" fillId="0" borderId="1" xfId="1" applyNumberFormat="1" applyFont="1" applyBorder="1" applyProtection="1">
      <protection locked="0"/>
    </xf>
    <xf numFmtId="169" fontId="6" fillId="0" borderId="19" xfId="1" applyNumberFormat="1" applyFont="1" applyBorder="1" applyProtection="1">
      <protection locked="0"/>
    </xf>
    <xf numFmtId="3" fontId="8" fillId="0" borderId="0" xfId="0" applyNumberFormat="1" applyFont="1" applyAlignment="1" applyProtection="1">
      <alignment horizontal="left"/>
      <protection locked="0"/>
    </xf>
    <xf numFmtId="169" fontId="5" fillId="0" borderId="0" xfId="1" applyNumberFormat="1" applyFont="1" applyFill="1" applyBorder="1" applyProtection="1">
      <protection locked="0"/>
    </xf>
    <xf numFmtId="3" fontId="5" fillId="7" borderId="0" xfId="0" applyNumberFormat="1" applyFont="1" applyFill="1" applyAlignment="1" applyProtection="1">
      <alignment horizontal="left"/>
      <protection locked="0"/>
    </xf>
    <xf numFmtId="3" fontId="8" fillId="7" borderId="0" xfId="0" applyNumberFormat="1" applyFont="1" applyFill="1" applyAlignment="1" applyProtection="1">
      <alignment horizontal="right"/>
      <protection locked="0"/>
    </xf>
    <xf numFmtId="169" fontId="5" fillId="7" borderId="1" xfId="1" applyNumberFormat="1" applyFont="1" applyFill="1" applyBorder="1" applyProtection="1">
      <protection locked="0"/>
    </xf>
    <xf numFmtId="3" fontId="5" fillId="0" borderId="3" xfId="0" applyNumberFormat="1" applyFont="1" applyBorder="1" applyAlignment="1" applyProtection="1">
      <alignment horizontal="left"/>
      <protection locked="0"/>
    </xf>
    <xf numFmtId="3" fontId="5" fillId="0" borderId="3" xfId="0" applyNumberFormat="1" applyFont="1" applyBorder="1" applyProtection="1">
      <protection locked="0"/>
    </xf>
    <xf numFmtId="169" fontId="5" fillId="0" borderId="3" xfId="1" applyNumberFormat="1" applyFont="1" applyFill="1" applyBorder="1" applyProtection="1">
      <protection locked="0"/>
    </xf>
    <xf numFmtId="169" fontId="5" fillId="0" borderId="29" xfId="1" applyNumberFormat="1" applyFont="1" applyFill="1" applyBorder="1" applyProtection="1">
      <protection locked="0"/>
    </xf>
    <xf numFmtId="0" fontId="8" fillId="0" borderId="3" xfId="0" applyFont="1" applyBorder="1" applyProtection="1">
      <protection locked="0"/>
    </xf>
    <xf numFmtId="0" fontId="8" fillId="0" borderId="3" xfId="0" applyFont="1" applyBorder="1" applyAlignment="1" applyProtection="1">
      <alignment horizontal="right"/>
      <protection locked="0"/>
    </xf>
    <xf numFmtId="169" fontId="5" fillId="0" borderId="3" xfId="1" applyNumberFormat="1" applyFont="1" applyBorder="1" applyProtection="1">
      <protection locked="0"/>
    </xf>
    <xf numFmtId="169" fontId="6" fillId="0" borderId="29" xfId="1" applyNumberFormat="1" applyFont="1" applyBorder="1" applyProtection="1">
      <protection locked="0"/>
    </xf>
    <xf numFmtId="0" fontId="8" fillId="0" borderId="0" xfId="0" applyFont="1" applyProtection="1">
      <protection locked="0"/>
    </xf>
    <xf numFmtId="0" fontId="8" fillId="0" borderId="0" xfId="0" applyFont="1" applyAlignment="1" applyProtection="1">
      <alignment horizontal="right"/>
      <protection locked="0"/>
    </xf>
    <xf numFmtId="169" fontId="6" fillId="0" borderId="27" xfId="1" applyNumberFormat="1" applyFont="1" applyBorder="1" applyProtection="1">
      <protection locked="0"/>
    </xf>
    <xf numFmtId="0" fontId="30" fillId="0" borderId="0" xfId="0" applyFont="1" applyAlignment="1" applyProtection="1">
      <alignment horizontal="right"/>
      <protection locked="0"/>
    </xf>
    <xf numFmtId="3" fontId="30" fillId="0" borderId="0" xfId="0" applyNumberFormat="1" applyFont="1" applyAlignment="1" applyProtection="1">
      <alignment horizontal="left"/>
      <protection locked="0"/>
    </xf>
    <xf numFmtId="3" fontId="30" fillId="0" borderId="0" xfId="0" applyNumberFormat="1" applyFont="1" applyProtection="1">
      <protection locked="0"/>
    </xf>
    <xf numFmtId="3" fontId="45" fillId="10" borderId="1" xfId="0" applyNumberFormat="1" applyFont="1" applyFill="1" applyBorder="1" applyAlignment="1" applyProtection="1">
      <alignment horizontal="left"/>
      <protection locked="0"/>
    </xf>
    <xf numFmtId="3" fontId="45" fillId="10" borderId="0" xfId="0" applyNumberFormat="1" applyFont="1" applyFill="1" applyAlignment="1" applyProtection="1">
      <alignment horizontal="right"/>
      <protection locked="0"/>
    </xf>
    <xf numFmtId="3" fontId="49" fillId="10" borderId="0" xfId="0" applyNumberFormat="1" applyFont="1" applyFill="1" applyProtection="1">
      <protection locked="0"/>
    </xf>
    <xf numFmtId="169" fontId="45" fillId="10" borderId="0" xfId="1" applyNumberFormat="1" applyFont="1" applyFill="1" applyBorder="1" applyProtection="1">
      <protection locked="0"/>
    </xf>
    <xf numFmtId="169" fontId="45" fillId="10" borderId="30" xfId="1" applyNumberFormat="1" applyFont="1" applyFill="1" applyBorder="1" applyProtection="1">
      <protection locked="0"/>
    </xf>
    <xf numFmtId="3" fontId="45" fillId="10" borderId="1" xfId="0" applyNumberFormat="1" applyFont="1" applyFill="1" applyBorder="1" applyProtection="1">
      <protection locked="0"/>
    </xf>
    <xf numFmtId="3" fontId="45" fillId="10" borderId="0" xfId="0" applyNumberFormat="1" applyFont="1" applyFill="1" applyProtection="1">
      <protection locked="0"/>
    </xf>
    <xf numFmtId="0" fontId="6" fillId="0" borderId="1" xfId="0" applyFont="1" applyBorder="1" applyProtection="1">
      <protection locked="0"/>
    </xf>
    <xf numFmtId="3" fontId="45" fillId="0" borderId="0" xfId="0" applyNumberFormat="1" applyFont="1" applyProtection="1">
      <protection locked="0"/>
    </xf>
    <xf numFmtId="3" fontId="49" fillId="0" borderId="0" xfId="0" applyNumberFormat="1" applyFont="1" applyProtection="1">
      <protection locked="0"/>
    </xf>
    <xf numFmtId="169" fontId="45" fillId="0" borderId="0" xfId="1" applyNumberFormat="1" applyFont="1" applyFill="1" applyBorder="1" applyProtection="1">
      <protection locked="0"/>
    </xf>
    <xf numFmtId="169" fontId="45" fillId="0" borderId="30" xfId="1" applyNumberFormat="1" applyFont="1" applyFill="1" applyBorder="1" applyProtection="1">
      <protection locked="0"/>
    </xf>
    <xf numFmtId="169" fontId="6" fillId="0" borderId="0" xfId="1" applyNumberFormat="1" applyFont="1" applyFill="1" applyBorder="1" applyProtection="1">
      <protection locked="0"/>
    </xf>
    <xf numFmtId="169" fontId="6" fillId="0" borderId="30" xfId="1" applyNumberFormat="1" applyFont="1" applyFill="1" applyBorder="1" applyProtection="1">
      <protection locked="0"/>
    </xf>
    <xf numFmtId="0" fontId="6" fillId="7" borderId="1" xfId="0" applyFont="1" applyFill="1" applyBorder="1" applyProtection="1">
      <protection locked="0"/>
    </xf>
    <xf numFmtId="169" fontId="6" fillId="7" borderId="0" xfId="1" applyNumberFormat="1" applyFont="1" applyFill="1" applyBorder="1" applyProtection="1">
      <protection locked="0"/>
    </xf>
    <xf numFmtId="169" fontId="6" fillId="7" borderId="30" xfId="1" applyNumberFormat="1" applyFont="1" applyFill="1" applyBorder="1" applyProtection="1">
      <protection locked="0"/>
    </xf>
    <xf numFmtId="3" fontId="6" fillId="0" borderId="1" xfId="0" applyNumberFormat="1" applyFont="1" applyBorder="1" applyAlignment="1" applyProtection="1">
      <alignment horizontal="right"/>
      <protection locked="0"/>
    </xf>
    <xf numFmtId="41" fontId="6" fillId="0" borderId="0" xfId="0" applyNumberFormat="1" applyFont="1" applyProtection="1">
      <protection locked="0"/>
    </xf>
    <xf numFmtId="41" fontId="6" fillId="0" borderId="30" xfId="0" applyNumberFormat="1" applyFont="1" applyBorder="1" applyProtection="1">
      <protection locked="0"/>
    </xf>
    <xf numFmtId="0" fontId="6" fillId="11" borderId="1" xfId="0" applyFont="1" applyFill="1" applyBorder="1" applyProtection="1">
      <protection locked="0"/>
    </xf>
    <xf numFmtId="164" fontId="5" fillId="11" borderId="0" xfId="0" applyNumberFormat="1" applyFont="1" applyFill="1" applyProtection="1">
      <protection locked="0"/>
    </xf>
    <xf numFmtId="0" fontId="5" fillId="11" borderId="0" xfId="0" applyFont="1" applyFill="1" applyProtection="1">
      <protection locked="0"/>
    </xf>
    <xf numFmtId="41" fontId="5" fillId="11" borderId="25" xfId="0" applyNumberFormat="1" applyFont="1" applyFill="1" applyBorder="1" applyProtection="1">
      <protection locked="0"/>
    </xf>
    <xf numFmtId="41" fontId="5" fillId="0" borderId="14" xfId="0" applyNumberFormat="1" applyFont="1" applyBorder="1" applyProtection="1">
      <protection locked="0"/>
    </xf>
    <xf numFmtId="41" fontId="6" fillId="0" borderId="14" xfId="0" applyNumberFormat="1" applyFont="1" applyBorder="1" applyProtection="1">
      <protection locked="0"/>
    </xf>
    <xf numFmtId="41" fontId="5" fillId="0" borderId="24" xfId="0" applyNumberFormat="1" applyFont="1" applyBorder="1" applyProtection="1">
      <protection locked="0"/>
    </xf>
    <xf numFmtId="3" fontId="5" fillId="14" borderId="0" xfId="0" applyNumberFormat="1" applyFont="1" applyFill="1" applyProtection="1">
      <protection locked="0"/>
    </xf>
    <xf numFmtId="0" fontId="5" fillId="14" borderId="0" xfId="0" applyFont="1" applyFill="1" applyProtection="1">
      <protection locked="0"/>
    </xf>
    <xf numFmtId="10" fontId="6" fillId="14" borderId="15" xfId="9" applyNumberFormat="1" applyFont="1" applyFill="1" applyBorder="1" applyProtection="1">
      <protection locked="0"/>
    </xf>
    <xf numFmtId="41" fontId="6" fillId="14" borderId="30" xfId="0" applyNumberFormat="1" applyFont="1" applyFill="1" applyBorder="1" applyProtection="1">
      <protection locked="0"/>
    </xf>
    <xf numFmtId="3" fontId="6" fillId="0" borderId="1" xfId="0" applyNumberFormat="1" applyFont="1" applyBorder="1" applyAlignment="1" applyProtection="1">
      <alignment horizontal="left"/>
      <protection locked="0"/>
    </xf>
    <xf numFmtId="169" fontId="6" fillId="0" borderId="30" xfId="1" applyNumberFormat="1" applyFont="1" applyBorder="1" applyProtection="1">
      <protection locked="0"/>
    </xf>
    <xf numFmtId="3" fontId="6" fillId="7" borderId="1" xfId="0" applyNumberFormat="1" applyFont="1" applyFill="1" applyBorder="1" applyAlignment="1" applyProtection="1">
      <alignment horizontal="left"/>
      <protection locked="0"/>
    </xf>
    <xf numFmtId="3" fontId="6" fillId="7" borderId="0" xfId="0" applyNumberFormat="1" applyFont="1" applyFill="1" applyAlignment="1" applyProtection="1">
      <alignment horizontal="right"/>
      <protection locked="0"/>
    </xf>
    <xf numFmtId="3" fontId="5" fillId="7" borderId="0" xfId="0" applyNumberFormat="1" applyFont="1" applyFill="1" applyProtection="1">
      <protection locked="0"/>
    </xf>
    <xf numFmtId="164" fontId="5" fillId="7" borderId="0" xfId="0" applyNumberFormat="1" applyFont="1" applyFill="1" applyProtection="1">
      <protection locked="0"/>
    </xf>
    <xf numFmtId="3" fontId="6" fillId="7" borderId="0" xfId="0" quotePrefix="1" applyNumberFormat="1" applyFont="1" applyFill="1" applyAlignment="1" applyProtection="1">
      <alignment horizontal="right"/>
      <protection locked="0"/>
    </xf>
    <xf numFmtId="164" fontId="5" fillId="7" borderId="0" xfId="0" applyNumberFormat="1" applyFont="1" applyFill="1" applyAlignment="1" applyProtection="1">
      <alignment horizontal="center"/>
      <protection locked="0"/>
    </xf>
    <xf numFmtId="41" fontId="6" fillId="7" borderId="0" xfId="0" applyNumberFormat="1" applyFont="1" applyFill="1" applyProtection="1">
      <protection locked="0"/>
    </xf>
    <xf numFmtId="3" fontId="6" fillId="0" borderId="1" xfId="0" applyNumberFormat="1" applyFont="1" applyBorder="1" applyProtection="1">
      <protection locked="0"/>
    </xf>
    <xf numFmtId="164" fontId="5" fillId="0" borderId="0" xfId="0" applyNumberFormat="1" applyFont="1" applyProtection="1">
      <protection locked="0"/>
    </xf>
    <xf numFmtId="3" fontId="6" fillId="0" borderId="0" xfId="0" quotePrefix="1" applyNumberFormat="1" applyFont="1" applyAlignment="1" applyProtection="1">
      <alignment horizontal="right"/>
      <protection locked="0"/>
    </xf>
    <xf numFmtId="164" fontId="5" fillId="0" borderId="0" xfId="0" applyNumberFormat="1" applyFont="1" applyAlignment="1" applyProtection="1">
      <alignment horizontal="center"/>
      <protection locked="0"/>
    </xf>
    <xf numFmtId="3" fontId="6" fillId="0" borderId="27" xfId="0" applyNumberFormat="1" applyFont="1" applyBorder="1" applyProtection="1">
      <protection locked="0"/>
    </xf>
    <xf numFmtId="3" fontId="6" fillId="0" borderId="10" xfId="0" applyNumberFormat="1" applyFont="1" applyBorder="1" applyProtection="1">
      <protection locked="0"/>
    </xf>
    <xf numFmtId="0" fontId="5" fillId="0" borderId="10" xfId="0" applyFont="1" applyBorder="1" applyProtection="1">
      <protection locked="0"/>
    </xf>
    <xf numFmtId="41" fontId="6" fillId="0" borderId="10" xfId="1" applyNumberFormat="1" applyFont="1" applyFill="1" applyBorder="1" applyProtection="1">
      <protection locked="0"/>
    </xf>
    <xf numFmtId="41" fontId="6" fillId="0" borderId="25" xfId="0" applyNumberFormat="1" applyFont="1" applyBorder="1" applyProtection="1">
      <protection locked="0"/>
    </xf>
    <xf numFmtId="0" fontId="2" fillId="0" borderId="0" xfId="6" applyAlignment="1">
      <alignment horizontal="center"/>
    </xf>
    <xf numFmtId="14" fontId="19" fillId="0" borderId="0" xfId="6" applyNumberFormat="1" applyFont="1"/>
    <xf numFmtId="14" fontId="2" fillId="0" borderId="0" xfId="6" applyNumberFormat="1"/>
    <xf numFmtId="14" fontId="2" fillId="0" borderId="20" xfId="6" applyNumberFormat="1" applyBorder="1"/>
    <xf numFmtId="0" fontId="19" fillId="0" borderId="30" xfId="6" applyFont="1" applyBorder="1" applyAlignment="1">
      <alignment horizontal="center"/>
    </xf>
    <xf numFmtId="0" fontId="19" fillId="0" borderId="30" xfId="6" applyFont="1" applyBorder="1" applyAlignment="1">
      <alignment wrapText="1"/>
    </xf>
    <xf numFmtId="171" fontId="2" fillId="0" borderId="30" xfId="2" applyNumberFormat="1" applyFont="1" applyBorder="1"/>
    <xf numFmtId="0" fontId="2" fillId="7" borderId="32" xfId="0" applyFont="1" applyFill="1" applyBorder="1" applyAlignment="1">
      <alignment vertical="center" wrapText="1"/>
    </xf>
    <xf numFmtId="164" fontId="5" fillId="11" borderId="10" xfId="0" applyNumberFormat="1" applyFont="1" applyFill="1" applyBorder="1"/>
    <xf numFmtId="0" fontId="5" fillId="0" borderId="0" xfId="9" applyNumberFormat="1" applyFont="1" applyAlignment="1">
      <alignment horizontal="right"/>
    </xf>
    <xf numFmtId="164" fontId="5" fillId="0" borderId="0" xfId="0" applyNumberFormat="1" applyFont="1"/>
    <xf numFmtId="3" fontId="6" fillId="0" borderId="0" xfId="0" applyNumberFormat="1" applyFont="1" applyAlignment="1">
      <alignment horizontal="right"/>
    </xf>
    <xf numFmtId="0" fontId="15" fillId="7" borderId="0" xfId="0" applyFont="1" applyFill="1" applyProtection="1">
      <protection locked="0"/>
    </xf>
    <xf numFmtId="41" fontId="5" fillId="0" borderId="0" xfId="0" applyNumberFormat="1" applyFont="1" applyAlignment="1" applyProtection="1">
      <alignment horizontal="right"/>
      <protection locked="0"/>
    </xf>
    <xf numFmtId="3" fontId="5" fillId="11" borderId="0" xfId="0" applyNumberFormat="1" applyFont="1" applyFill="1" applyProtection="1">
      <protection locked="0"/>
    </xf>
    <xf numFmtId="3" fontId="6" fillId="14" borderId="0" xfId="0" applyNumberFormat="1" applyFont="1" applyFill="1" applyAlignment="1" applyProtection="1">
      <alignment horizontal="right"/>
      <protection locked="0"/>
    </xf>
    <xf numFmtId="0" fontId="49" fillId="7" borderId="15" xfId="0" applyFont="1" applyFill="1" applyBorder="1" applyAlignment="1">
      <alignment horizontal="left" vertical="top" wrapText="1"/>
    </xf>
    <xf numFmtId="169" fontId="5" fillId="7" borderId="0" xfId="1" applyNumberFormat="1" applyFont="1" applyFill="1" applyProtection="1">
      <protection locked="0"/>
    </xf>
    <xf numFmtId="2" fontId="5" fillId="7" borderId="0" xfId="0" applyNumberFormat="1" applyFont="1" applyFill="1" applyProtection="1">
      <protection locked="0"/>
    </xf>
    <xf numFmtId="165" fontId="5" fillId="0" borderId="0" xfId="0" applyNumberFormat="1" applyFont="1" applyProtection="1">
      <protection locked="0"/>
    </xf>
    <xf numFmtId="3" fontId="5" fillId="0" borderId="10" xfId="0" applyNumberFormat="1" applyFont="1" applyBorder="1" applyProtection="1">
      <protection locked="0"/>
    </xf>
    <xf numFmtId="3" fontId="5" fillId="0" borderId="10" xfId="0" applyNumberFormat="1" applyFont="1" applyBorder="1" applyAlignment="1" applyProtection="1">
      <alignment horizontal="right"/>
      <protection locked="0"/>
    </xf>
    <xf numFmtId="9" fontId="5" fillId="0" borderId="10" xfId="0" applyNumberFormat="1" applyFont="1" applyBorder="1" applyProtection="1">
      <protection locked="0"/>
    </xf>
    <xf numFmtId="169" fontId="5" fillId="0" borderId="10" xfId="1" applyNumberFormat="1" applyFont="1" applyFill="1" applyBorder="1" applyProtection="1">
      <protection locked="0"/>
    </xf>
    <xf numFmtId="169" fontId="5" fillId="0" borderId="27" xfId="1" applyNumberFormat="1" applyFont="1" applyFill="1" applyBorder="1" applyProtection="1">
      <protection locked="0"/>
    </xf>
    <xf numFmtId="0" fontId="5" fillId="0" borderId="20" xfId="0" applyFont="1" applyBorder="1"/>
    <xf numFmtId="3" fontId="8" fillId="0" borderId="20" xfId="0" applyNumberFormat="1" applyFont="1" applyBorder="1" applyAlignment="1">
      <alignment horizontal="left"/>
    </xf>
    <xf numFmtId="0" fontId="5" fillId="0" borderId="27" xfId="0" applyFont="1" applyBorder="1"/>
    <xf numFmtId="0" fontId="5" fillId="0" borderId="10" xfId="0" applyFont="1" applyBorder="1"/>
    <xf numFmtId="0" fontId="5" fillId="0" borderId="26" xfId="0" applyFont="1" applyBorder="1"/>
    <xf numFmtId="3" fontId="30" fillId="0" borderId="19" xfId="0" applyNumberFormat="1" applyFont="1" applyBorder="1" applyAlignment="1">
      <alignment horizontal="left"/>
    </xf>
    <xf numFmtId="0" fontId="8" fillId="0" borderId="19" xfId="0" applyFont="1" applyBorder="1"/>
    <xf numFmtId="0" fontId="8" fillId="0" borderId="14" xfId="0" applyFont="1" applyBorder="1"/>
    <xf numFmtId="0" fontId="5" fillId="0" borderId="14" xfId="0" applyFont="1" applyBorder="1"/>
    <xf numFmtId="0" fontId="5" fillId="0" borderId="18" xfId="0" applyFont="1" applyBorder="1"/>
    <xf numFmtId="164" fontId="5" fillId="0" borderId="14" xfId="0" applyNumberFormat="1" applyFont="1" applyBorder="1"/>
    <xf numFmtId="164" fontId="5" fillId="0" borderId="10" xfId="0" applyNumberFormat="1" applyFont="1" applyBorder="1"/>
    <xf numFmtId="0" fontId="5" fillId="0" borderId="19" xfId="0" applyFont="1" applyBorder="1"/>
    <xf numFmtId="0" fontId="30" fillId="0" borderId="1" xfId="0" applyFont="1" applyBorder="1"/>
    <xf numFmtId="0" fontId="50" fillId="10" borderId="33" xfId="7" applyFont="1" applyFill="1" applyBorder="1" applyAlignment="1">
      <alignment horizontal="center" vertical="center" wrapText="1"/>
    </xf>
    <xf numFmtId="10" fontId="51" fillId="10" borderId="34" xfId="9" applyNumberFormat="1" applyFont="1" applyFill="1" applyBorder="1" applyAlignment="1">
      <alignment horizontal="center" vertical="center" wrapText="1"/>
    </xf>
    <xf numFmtId="0" fontId="51" fillId="0" borderId="35" xfId="7" applyFont="1" applyBorder="1" applyAlignment="1">
      <alignment vertical="center" wrapText="1"/>
    </xf>
    <xf numFmtId="0" fontId="51" fillId="10" borderId="35" xfId="7" applyFont="1" applyFill="1" applyBorder="1" applyAlignment="1">
      <alignment vertical="center" wrapText="1"/>
    </xf>
    <xf numFmtId="165" fontId="5" fillId="15" borderId="0" xfId="0" applyNumberFormat="1" applyFont="1" applyFill="1" applyProtection="1">
      <protection locked="0"/>
    </xf>
    <xf numFmtId="167" fontId="6" fillId="7" borderId="15" xfId="0" applyNumberFormat="1" applyFont="1" applyFill="1" applyBorder="1"/>
    <xf numFmtId="0" fontId="10" fillId="0" borderId="0" xfId="0" applyFont="1"/>
    <xf numFmtId="0" fontId="52" fillId="0" borderId="0" xfId="7" applyFont="1"/>
    <xf numFmtId="0" fontId="53" fillId="0" borderId="0" xfId="5" applyFont="1"/>
    <xf numFmtId="0" fontId="5" fillId="0" borderId="0" xfId="5" applyFont="1"/>
    <xf numFmtId="0" fontId="51" fillId="0" borderId="36" xfId="0" applyFont="1" applyBorder="1" applyAlignment="1">
      <alignment vertical="center" wrapText="1"/>
    </xf>
    <xf numFmtId="164" fontId="49" fillId="0" borderId="0" xfId="0" applyNumberFormat="1" applyFont="1"/>
    <xf numFmtId="10" fontId="51" fillId="10" borderId="37" xfId="9" applyNumberFormat="1" applyFont="1" applyFill="1" applyBorder="1" applyAlignment="1">
      <alignment horizontal="center" vertical="center" wrapText="1"/>
    </xf>
    <xf numFmtId="10" fontId="51" fillId="10" borderId="38" xfId="9" applyNumberFormat="1" applyFont="1" applyFill="1" applyBorder="1" applyAlignment="1">
      <alignment horizontal="center" vertical="center" wrapText="1"/>
    </xf>
    <xf numFmtId="10" fontId="51" fillId="10" borderId="39" xfId="9" applyNumberFormat="1" applyFont="1" applyFill="1" applyBorder="1" applyAlignment="1">
      <alignment horizontal="center" vertical="center" wrapText="1"/>
    </xf>
    <xf numFmtId="0" fontId="5" fillId="0" borderId="0" xfId="5" applyFont="1" applyAlignment="1">
      <alignment horizontal="center"/>
    </xf>
    <xf numFmtId="10" fontId="49" fillId="0" borderId="0" xfId="9" quotePrefix="1" applyNumberFormat="1" applyFont="1" applyFill="1" applyBorder="1"/>
    <xf numFmtId="10" fontId="49" fillId="0" borderId="0" xfId="9" applyNumberFormat="1" applyFont="1" applyFill="1" applyBorder="1"/>
    <xf numFmtId="164" fontId="5" fillId="0" borderId="0" xfId="0" applyNumberFormat="1" applyFont="1" applyAlignment="1">
      <alignment horizontal="center"/>
    </xf>
    <xf numFmtId="0" fontId="45" fillId="0" borderId="0" xfId="5" applyFont="1"/>
    <xf numFmtId="10" fontId="53" fillId="0" borderId="0" xfId="5" applyNumberFormat="1" applyFont="1"/>
    <xf numFmtId="164" fontId="5" fillId="0" borderId="0" xfId="5" applyNumberFormat="1" applyFont="1"/>
    <xf numFmtId="10" fontId="5" fillId="0" borderId="0" xfId="5" applyNumberFormat="1" applyFont="1"/>
    <xf numFmtId="0" fontId="6" fillId="0" borderId="0" xfId="5" applyFont="1"/>
    <xf numFmtId="164" fontId="6" fillId="0" borderId="0" xfId="0" applyNumberFormat="1" applyFont="1"/>
    <xf numFmtId="49" fontId="5" fillId="0" borderId="0" xfId="5" applyNumberFormat="1" applyFont="1"/>
    <xf numFmtId="0" fontId="3" fillId="10" borderId="0" xfId="4" applyFill="1" applyBorder="1" applyAlignment="1" applyProtection="1"/>
    <xf numFmtId="14" fontId="35" fillId="16" borderId="31" xfId="0" quotePrefix="1" applyNumberFormat="1" applyFont="1" applyFill="1" applyBorder="1" applyAlignment="1">
      <alignment horizontal="center"/>
    </xf>
    <xf numFmtId="2" fontId="5" fillId="0" borderId="0" xfId="0" applyNumberFormat="1" applyFont="1"/>
    <xf numFmtId="0" fontId="50" fillId="0" borderId="33" xfId="7" applyFont="1" applyBorder="1" applyAlignment="1">
      <alignment horizontal="center" vertical="center" wrapText="1"/>
    </xf>
    <xf numFmtId="0" fontId="50" fillId="0" borderId="37" xfId="7" applyFont="1" applyBorder="1" applyAlignment="1">
      <alignment horizontal="center" vertical="center" wrapText="1"/>
    </xf>
    <xf numFmtId="0" fontId="50" fillId="0" borderId="40" xfId="7" applyFont="1" applyBorder="1" applyAlignment="1">
      <alignment horizontal="center" vertical="center" wrapText="1"/>
    </xf>
    <xf numFmtId="0" fontId="3" fillId="0" borderId="0" xfId="4" applyAlignment="1" applyProtection="1"/>
    <xf numFmtId="0" fontId="54" fillId="0" borderId="0" xfId="5" applyFont="1"/>
    <xf numFmtId="0" fontId="6" fillId="0" borderId="0" xfId="5" applyFont="1" applyAlignment="1">
      <alignment horizontal="center"/>
    </xf>
    <xf numFmtId="0" fontId="3" fillId="6" borderId="10" xfId="4" applyFill="1" applyBorder="1" applyAlignment="1" applyProtection="1"/>
    <xf numFmtId="169" fontId="6" fillId="0" borderId="0" xfId="1" applyNumberFormat="1" applyFont="1" applyBorder="1" applyProtection="1">
      <protection locked="0"/>
    </xf>
    <xf numFmtId="3" fontId="8" fillId="0" borderId="0" xfId="0" applyNumberFormat="1" applyFont="1" applyAlignment="1" applyProtection="1">
      <alignment horizontal="left" indent="3"/>
      <protection locked="0"/>
    </xf>
    <xf numFmtId="3" fontId="5" fillId="0" borderId="0" xfId="0" applyNumberFormat="1" applyFont="1" applyAlignment="1" applyProtection="1">
      <alignment horizontal="left" indent="3"/>
      <protection locked="0"/>
    </xf>
    <xf numFmtId="3" fontId="37" fillId="0" borderId="0" xfId="0" applyNumberFormat="1" applyFont="1" applyProtection="1">
      <protection locked="0"/>
    </xf>
    <xf numFmtId="3" fontId="37" fillId="0" borderId="0" xfId="0" applyNumberFormat="1" applyFont="1" applyAlignment="1" applyProtection="1">
      <alignment horizontal="right"/>
      <protection locked="0"/>
    </xf>
    <xf numFmtId="3" fontId="6" fillId="8" borderId="0" xfId="0" applyNumberFormat="1" applyFont="1" applyFill="1" applyProtection="1">
      <protection locked="0"/>
    </xf>
    <xf numFmtId="3" fontId="5" fillId="8" borderId="0" xfId="0" applyNumberFormat="1" applyFont="1" applyFill="1" applyProtection="1">
      <protection locked="0"/>
    </xf>
    <xf numFmtId="169" fontId="6" fillId="8" borderId="23" xfId="1" applyNumberFormat="1" applyFont="1" applyFill="1" applyBorder="1" applyProtection="1">
      <protection locked="0"/>
    </xf>
    <xf numFmtId="169" fontId="6" fillId="8" borderId="21" xfId="1" applyNumberFormat="1" applyFont="1" applyFill="1" applyBorder="1" applyProtection="1">
      <protection locked="0"/>
    </xf>
    <xf numFmtId="3" fontId="6" fillId="14" borderId="1" xfId="0" applyNumberFormat="1" applyFont="1" applyFill="1" applyBorder="1" applyAlignment="1" applyProtection="1">
      <alignment horizontal="left"/>
      <protection locked="0"/>
    </xf>
    <xf numFmtId="43" fontId="5" fillId="0" borderId="0" xfId="0" applyNumberFormat="1" applyFont="1" applyProtection="1">
      <protection locked="0"/>
    </xf>
    <xf numFmtId="43" fontId="6" fillId="0" borderId="0" xfId="0" applyNumberFormat="1" applyFont="1"/>
    <xf numFmtId="0" fontId="51" fillId="9" borderId="35" xfId="7" applyFont="1" applyFill="1" applyBorder="1" applyAlignment="1">
      <alignment vertical="center" wrapText="1"/>
    </xf>
    <xf numFmtId="0" fontId="51" fillId="9" borderId="36" xfId="0" applyFont="1" applyFill="1" applyBorder="1" applyAlignment="1">
      <alignment vertical="center" wrapText="1"/>
    </xf>
    <xf numFmtId="167" fontId="5" fillId="11" borderId="2" xfId="0" applyNumberFormat="1" applyFont="1" applyFill="1" applyBorder="1"/>
    <xf numFmtId="167" fontId="5" fillId="11" borderId="3" xfId="0" applyNumberFormat="1" applyFont="1" applyFill="1" applyBorder="1"/>
    <xf numFmtId="166" fontId="5" fillId="11" borderId="8" xfId="0" applyNumberFormat="1" applyFont="1" applyFill="1" applyBorder="1"/>
    <xf numFmtId="167" fontId="5" fillId="11" borderId="17" xfId="0" applyNumberFormat="1" applyFont="1" applyFill="1" applyBorder="1"/>
    <xf numFmtId="167" fontId="5" fillId="11" borderId="6" xfId="0" applyNumberFormat="1" applyFont="1" applyFill="1" applyBorder="1"/>
    <xf numFmtId="166" fontId="5" fillId="11" borderId="9" xfId="0" applyNumberFormat="1" applyFont="1" applyFill="1" applyBorder="1"/>
    <xf numFmtId="3" fontId="45" fillId="7" borderId="1" xfId="0" applyNumberFormat="1" applyFont="1" applyFill="1" applyBorder="1" applyProtection="1">
      <protection locked="0"/>
    </xf>
    <xf numFmtId="3" fontId="45" fillId="7" borderId="0" xfId="0" applyNumberFormat="1" applyFont="1" applyFill="1" applyProtection="1">
      <protection locked="0"/>
    </xf>
    <xf numFmtId="3" fontId="49" fillId="7" borderId="0" xfId="0" applyNumberFormat="1" applyFont="1" applyFill="1" applyProtection="1">
      <protection locked="0"/>
    </xf>
    <xf numFmtId="169" fontId="45" fillId="7" borderId="0" xfId="1" applyNumberFormat="1" applyFont="1" applyFill="1" applyBorder="1" applyProtection="1">
      <protection locked="0"/>
    </xf>
    <xf numFmtId="169" fontId="45" fillId="7" borderId="30" xfId="1" applyNumberFormat="1" applyFont="1" applyFill="1" applyBorder="1" applyProtection="1">
      <protection locked="0"/>
    </xf>
    <xf numFmtId="0" fontId="5" fillId="7" borderId="41" xfId="0" applyFont="1" applyFill="1" applyBorder="1"/>
    <xf numFmtId="0" fontId="5" fillId="7" borderId="42" xfId="0" applyFont="1" applyFill="1" applyBorder="1" applyAlignment="1">
      <alignment horizontal="right"/>
    </xf>
    <xf numFmtId="0" fontId="5" fillId="7" borderId="44" xfId="0" applyFont="1" applyFill="1" applyBorder="1"/>
    <xf numFmtId="0" fontId="5" fillId="7" borderId="45" xfId="0" applyFont="1" applyFill="1" applyBorder="1" applyAlignment="1">
      <alignment horizontal="right"/>
    </xf>
    <xf numFmtId="0" fontId="5" fillId="7" borderId="46" xfId="0" applyFont="1" applyFill="1" applyBorder="1"/>
    <xf numFmtId="0" fontId="5" fillId="0" borderId="47" xfId="5" applyFont="1" applyBorder="1"/>
    <xf numFmtId="164" fontId="5" fillId="0" borderId="47" xfId="9" applyNumberFormat="1" applyFont="1" applyFill="1" applyBorder="1"/>
    <xf numFmtId="10" fontId="42" fillId="7" borderId="48" xfId="9" applyNumberFormat="1" applyFont="1" applyFill="1" applyBorder="1" applyAlignment="1">
      <alignment horizontal="left"/>
    </xf>
    <xf numFmtId="0" fontId="34" fillId="0" borderId="0" xfId="7" applyFont="1" applyAlignment="1">
      <alignment horizontal="right"/>
    </xf>
    <xf numFmtId="0" fontId="42" fillId="9" borderId="49" xfId="7" applyFont="1" applyFill="1" applyBorder="1" applyAlignment="1">
      <alignment wrapText="1"/>
    </xf>
    <xf numFmtId="169" fontId="6" fillId="0" borderId="0" xfId="1" applyNumberFormat="1" applyFont="1" applyFill="1" applyBorder="1" applyProtection="1"/>
    <xf numFmtId="0" fontId="38" fillId="0" borderId="0" xfId="4" applyFont="1" applyAlignment="1" applyProtection="1"/>
    <xf numFmtId="0" fontId="50" fillId="14" borderId="7" xfId="7" applyFont="1" applyFill="1" applyBorder="1" applyAlignment="1">
      <alignment horizontal="center" vertical="center" wrapText="1"/>
    </xf>
    <xf numFmtId="0" fontId="50" fillId="14" borderId="36" xfId="7" applyFont="1" applyFill="1" applyBorder="1" applyAlignment="1">
      <alignment horizontal="center" vertical="center" wrapText="1"/>
    </xf>
    <xf numFmtId="164" fontId="51" fillId="14" borderId="33" xfId="7" applyNumberFormat="1" applyFont="1" applyFill="1" applyBorder="1" applyAlignment="1">
      <alignment horizontal="center" vertical="center" wrapText="1"/>
    </xf>
    <xf numFmtId="10" fontId="51" fillId="14" borderId="50" xfId="9" applyNumberFormat="1" applyFont="1" applyFill="1" applyBorder="1" applyAlignment="1">
      <alignment horizontal="center" vertical="center" wrapText="1"/>
    </xf>
    <xf numFmtId="0" fontId="50" fillId="14" borderId="51" xfId="7" applyFont="1" applyFill="1" applyBorder="1" applyAlignment="1">
      <alignment horizontal="center" vertical="center" wrapText="1"/>
    </xf>
    <xf numFmtId="0" fontId="50" fillId="14" borderId="35" xfId="7" applyFont="1" applyFill="1" applyBorder="1" applyAlignment="1">
      <alignment horizontal="center" vertical="center" wrapText="1"/>
    </xf>
    <xf numFmtId="0" fontId="50" fillId="0" borderId="5" xfId="7" applyFont="1" applyBorder="1" applyAlignment="1">
      <alignment horizontal="center" vertical="center" wrapText="1"/>
    </xf>
    <xf numFmtId="0" fontId="50" fillId="0" borderId="0" xfId="7" applyFont="1" applyAlignment="1">
      <alignment horizontal="center" vertical="center" wrapText="1"/>
    </xf>
    <xf numFmtId="0" fontId="50" fillId="0" borderId="1" xfId="7" applyFont="1" applyBorder="1" applyAlignment="1">
      <alignment horizontal="center" vertical="center" wrapText="1"/>
    </xf>
    <xf numFmtId="164" fontId="5" fillId="0" borderId="0" xfId="9" applyNumberFormat="1" applyFont="1" applyFill="1" applyBorder="1"/>
    <xf numFmtId="0" fontId="55" fillId="0" borderId="0" xfId="5" applyFont="1"/>
    <xf numFmtId="14" fontId="18" fillId="0" borderId="0" xfId="0" applyNumberFormat="1" applyFont="1" applyAlignment="1">
      <alignment horizontal="center"/>
    </xf>
    <xf numFmtId="14" fontId="32" fillId="0" borderId="0" xfId="0" applyNumberFormat="1" applyFont="1" applyAlignment="1">
      <alignment horizontal="center"/>
    </xf>
    <xf numFmtId="0" fontId="56" fillId="0" borderId="0" xfId="0" applyFont="1" applyAlignment="1">
      <alignment vertical="center"/>
    </xf>
    <xf numFmtId="0" fontId="39" fillId="0" borderId="0" xfId="0" applyFont="1" applyAlignment="1">
      <alignment vertical="center"/>
    </xf>
    <xf numFmtId="0" fontId="56" fillId="0" borderId="0" xfId="5" applyFont="1"/>
    <xf numFmtId="0" fontId="57" fillId="6" borderId="10" xfId="4" applyFont="1" applyFill="1" applyBorder="1" applyAlignment="1" applyProtection="1"/>
    <xf numFmtId="0" fontId="1" fillId="0" borderId="0" xfId="0" applyFont="1"/>
    <xf numFmtId="0" fontId="50" fillId="0" borderId="7" xfId="7" applyFont="1" applyBorder="1" applyAlignment="1">
      <alignment horizontal="center" vertical="center" wrapText="1"/>
    </xf>
    <xf numFmtId="0" fontId="50" fillId="0" borderId="36" xfId="7" applyFont="1" applyBorder="1" applyAlignment="1">
      <alignment horizontal="center" vertical="center" wrapText="1"/>
    </xf>
    <xf numFmtId="164" fontId="51" fillId="9" borderId="52" xfId="7" applyNumberFormat="1" applyFont="1" applyFill="1" applyBorder="1" applyAlignment="1">
      <alignment horizontal="center" vertical="center" wrapText="1"/>
    </xf>
    <xf numFmtId="164" fontId="51" fillId="9" borderId="53" xfId="7" applyNumberFormat="1" applyFont="1" applyFill="1" applyBorder="1" applyAlignment="1">
      <alignment horizontal="center" vertical="center" wrapText="1"/>
    </xf>
    <xf numFmtId="164" fontId="51" fillId="0" borderId="53" xfId="7" applyNumberFormat="1" applyFont="1" applyBorder="1" applyAlignment="1">
      <alignment horizontal="center" vertical="center" wrapText="1"/>
    </xf>
    <xf numFmtId="164" fontId="51" fillId="0" borderId="52" xfId="7" applyNumberFormat="1" applyFont="1" applyBorder="1" applyAlignment="1">
      <alignment horizontal="center" vertical="center" wrapText="1"/>
    </xf>
    <xf numFmtId="164" fontId="51" fillId="0" borderId="54" xfId="7" applyNumberFormat="1" applyFont="1" applyBorder="1" applyAlignment="1">
      <alignment horizontal="center" vertical="center" wrapText="1"/>
    </xf>
    <xf numFmtId="164" fontId="51" fillId="0" borderId="55" xfId="7" applyNumberFormat="1" applyFont="1" applyBorder="1" applyAlignment="1">
      <alignment horizontal="center" vertical="center" wrapText="1"/>
    </xf>
    <xf numFmtId="167" fontId="5" fillId="11" borderId="4" xfId="0" applyNumberFormat="1" applyFont="1" applyFill="1" applyBorder="1"/>
    <xf numFmtId="167" fontId="5" fillId="11" borderId="0" xfId="0" applyNumberFormat="1" applyFont="1" applyFill="1"/>
    <xf numFmtId="166" fontId="5" fillId="11" borderId="5" xfId="0" applyNumberFormat="1" applyFont="1" applyFill="1" applyBorder="1"/>
    <xf numFmtId="0" fontId="6" fillId="7" borderId="42" xfId="0" applyFont="1" applyFill="1" applyBorder="1" applyAlignment="1">
      <alignment horizontal="center"/>
    </xf>
    <xf numFmtId="0" fontId="5" fillId="7" borderId="43" xfId="0" applyFont="1" applyFill="1" applyBorder="1" applyAlignment="1">
      <alignment horizontal="right"/>
    </xf>
    <xf numFmtId="14" fontId="6" fillId="0" borderId="0" xfId="0" applyNumberFormat="1" applyFont="1"/>
    <xf numFmtId="164" fontId="51" fillId="17" borderId="35" xfId="0" applyNumberFormat="1" applyFont="1" applyFill="1" applyBorder="1" applyAlignment="1">
      <alignment horizontal="center" vertical="center" wrapText="1"/>
    </xf>
    <xf numFmtId="164" fontId="51" fillId="17" borderId="34" xfId="0" applyNumberFormat="1" applyFont="1" applyFill="1" applyBorder="1" applyAlignment="1">
      <alignment horizontal="center" vertical="center" wrapText="1"/>
    </xf>
    <xf numFmtId="0" fontId="5" fillId="18" borderId="43" xfId="0" applyFont="1" applyFill="1" applyBorder="1" applyAlignment="1">
      <alignment horizontal="right"/>
    </xf>
    <xf numFmtId="2" fontId="5" fillId="6" borderId="0" xfId="0" applyNumberFormat="1" applyFont="1" applyFill="1" applyAlignment="1" applyProtection="1">
      <alignment horizontal="center"/>
      <protection locked="0"/>
    </xf>
    <xf numFmtId="0" fontId="24" fillId="2" borderId="4" xfId="8" applyFont="1" applyFill="1" applyBorder="1" applyAlignment="1">
      <alignment horizontal="center"/>
    </xf>
    <xf numFmtId="0" fontId="24" fillId="2" borderId="0" xfId="8" applyFont="1" applyFill="1" applyAlignment="1">
      <alignment horizontal="center"/>
    </xf>
    <xf numFmtId="0" fontId="24" fillId="2" borderId="5" xfId="8" applyFont="1" applyFill="1" applyBorder="1" applyAlignment="1">
      <alignment horizontal="center"/>
    </xf>
    <xf numFmtId="0" fontId="24" fillId="2" borderId="11" xfId="8" applyFont="1" applyFill="1" applyBorder="1" applyAlignment="1">
      <alignment horizontal="center"/>
    </xf>
    <xf numFmtId="0" fontId="24" fillId="2" borderId="10" xfId="8" applyFont="1" applyFill="1" applyBorder="1" applyAlignment="1">
      <alignment horizontal="center"/>
    </xf>
    <xf numFmtId="0" fontId="24" fillId="2" borderId="12" xfId="8" applyFont="1" applyFill="1" applyBorder="1" applyAlignment="1">
      <alignment horizontal="center"/>
    </xf>
    <xf numFmtId="0" fontId="58" fillId="11" borderId="19" xfId="0" applyFont="1" applyFill="1" applyBorder="1" applyAlignment="1">
      <alignment horizontal="left"/>
    </xf>
    <xf numFmtId="0" fontId="58" fillId="11" borderId="14" xfId="0" applyFont="1" applyFill="1" applyBorder="1" applyAlignment="1">
      <alignment horizontal="left"/>
    </xf>
    <xf numFmtId="0" fontId="58" fillId="11" borderId="18" xfId="0" applyFont="1" applyFill="1" applyBorder="1" applyAlignment="1">
      <alignment horizontal="left"/>
    </xf>
    <xf numFmtId="0" fontId="6" fillId="10" borderId="1" xfId="0" applyFont="1" applyFill="1" applyBorder="1" applyAlignment="1">
      <alignment horizontal="left"/>
    </xf>
    <xf numFmtId="0" fontId="6" fillId="10" borderId="0" xfId="0" applyFont="1" applyFill="1" applyAlignment="1">
      <alignment horizontal="left"/>
    </xf>
    <xf numFmtId="0" fontId="6" fillId="6" borderId="27" xfId="0" applyFont="1" applyFill="1" applyBorder="1" applyAlignment="1">
      <alignment horizontal="right"/>
    </xf>
    <xf numFmtId="0" fontId="6" fillId="6" borderId="10" xfId="0" applyFont="1" applyFill="1" applyBorder="1" applyAlignment="1">
      <alignment horizontal="right"/>
    </xf>
    <xf numFmtId="0" fontId="50" fillId="0" borderId="7" xfId="7" applyFont="1" applyBorder="1" applyAlignment="1">
      <alignment horizontal="center" vertical="center"/>
    </xf>
    <xf numFmtId="0" fontId="50" fillId="0" borderId="36" xfId="7" applyFont="1" applyBorder="1" applyAlignment="1">
      <alignment horizontal="center" vertical="center"/>
    </xf>
    <xf numFmtId="0" fontId="52" fillId="0" borderId="0" xfId="7" applyFont="1" applyAlignment="1">
      <alignment horizontal="left" wrapText="1"/>
    </xf>
    <xf numFmtId="0" fontId="38" fillId="0" borderId="21" xfId="4" applyFont="1" applyBorder="1" applyAlignment="1" applyProtection="1">
      <alignment horizontal="center"/>
    </xf>
    <xf numFmtId="0" fontId="38" fillId="0" borderId="22" xfId="4" applyFont="1" applyBorder="1" applyAlignment="1" applyProtection="1">
      <alignment horizontal="center"/>
    </xf>
    <xf numFmtId="0" fontId="38" fillId="0" borderId="23" xfId="4" applyFont="1" applyBorder="1" applyAlignment="1" applyProtection="1">
      <alignment horizontal="center"/>
    </xf>
  </cellXfs>
  <cellStyles count="12">
    <cellStyle name="Comma" xfId="1" builtinId="3"/>
    <cellStyle name="Comma 2" xfId="2" xr:uid="{4D6A98C4-44AE-40FD-9730-D9BBC10488A7}"/>
    <cellStyle name="Currency" xfId="3" builtinId="4"/>
    <cellStyle name="Hyperlink" xfId="4" builtinId="8"/>
    <cellStyle name="Normal" xfId="0" builtinId="0"/>
    <cellStyle name="Normal 2" xfId="5" xr:uid="{ECF05BB4-7A81-4AF4-B276-CAF9D06E5D43}"/>
    <cellStyle name="Normal 3" xfId="6" xr:uid="{03B55720-D6FE-47C4-95CF-4EC8079BF17C}"/>
    <cellStyle name="Normal 4" xfId="7" xr:uid="{DF3D7524-D7E8-4FBD-ADCF-8E43A8AB9B25}"/>
    <cellStyle name="Normal_person_months_conversion_chart-4" xfId="8" xr:uid="{12EB6D8E-FBFE-4B44-B64F-53F1E9A8180E}"/>
    <cellStyle name="Percent" xfId="9" builtinId="5"/>
    <cellStyle name="Percent 2" xfId="10" xr:uid="{8D12E681-A0AB-4AD4-8329-882D16EF7A4E}"/>
    <cellStyle name="Percent 6" xfId="11" xr:uid="{F2264F06-AD96-4D22-93AD-E2C9EC5A7CB5}"/>
  </cellStyles>
  <dxfs count="5">
    <dxf>
      <font>
        <color theme="1"/>
      </font>
    </dxf>
    <dxf>
      <font>
        <color theme="0" tint="-0.34998626667073579"/>
      </font>
    </dxf>
    <dxf>
      <font>
        <color theme="0" tint="-0.14996795556505021"/>
      </font>
    </dxf>
    <dxf>
      <font>
        <color theme="0" tint="-0.1499679555650502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uide/notice-files/NOT-HS-25-015.html" TargetMode="External"/><Relationship Id="rId1" Type="http://schemas.openxmlformats.org/officeDocument/2006/relationships/hyperlink" Target="https://research.uoregon.edu/apply/apply-external-funding/prepare/nih-salary-ca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brp.uoregon.edu/content/Estimated-Rates-Future-Years" TargetMode="External"/><Relationship Id="rId1" Type="http://schemas.openxmlformats.org/officeDocument/2006/relationships/hyperlink" Target="https://brp.uoregon.edu/content/Blended-OP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60755-716F-4F88-ABAA-FE1F61159C56}">
  <sheetPr>
    <tabColor rgb="FF008000"/>
    <pageSetUpPr fitToPage="1"/>
  </sheetPr>
  <dimension ref="A1:IU220"/>
  <sheetViews>
    <sheetView tabSelected="1" zoomScale="90" zoomScaleNormal="90" workbookViewId="0">
      <pane ySplit="4" topLeftCell="A5" activePane="bottomLeft" state="frozen"/>
      <selection pane="bottomLeft"/>
    </sheetView>
  </sheetViews>
  <sheetFormatPr defaultColWidth="8.85546875" defaultRowHeight="12.75" x14ac:dyDescent="0.2"/>
  <cols>
    <col min="1" max="1" width="4.28515625" style="1" customWidth="1"/>
    <col min="2" max="2" width="38.7109375" style="1" customWidth="1"/>
    <col min="3" max="3" width="41.5703125" style="1" customWidth="1"/>
    <col min="4" max="4" width="9.7109375" style="1" customWidth="1"/>
    <col min="5" max="9" width="6.7109375" style="1" customWidth="1"/>
    <col min="10" max="10" width="7.5703125" style="1" customWidth="1"/>
    <col min="11" max="11" width="12.5703125" style="1" customWidth="1"/>
    <col min="12" max="15" width="12" style="1" bestFit="1" customWidth="1"/>
    <col min="16" max="16" width="14.5703125" style="1" customWidth="1"/>
    <col min="17" max="17" width="15" style="1" customWidth="1"/>
    <col min="18" max="18" width="9.85546875" style="1" customWidth="1"/>
    <col min="19" max="19" width="14.28515625" style="1" customWidth="1"/>
    <col min="20" max="20" width="14" style="1" customWidth="1"/>
    <col min="21" max="21" width="10.42578125" style="1" customWidth="1"/>
    <col min="22" max="22" width="10.5703125" style="1" customWidth="1"/>
    <col min="23" max="23" width="11.28515625" style="1" customWidth="1"/>
    <col min="24" max="26" width="8.85546875" style="1"/>
    <col min="27" max="27" width="3.5703125" style="1" customWidth="1"/>
    <col min="28" max="31" width="8.85546875" style="1"/>
    <col min="32" max="32" width="10.5703125" style="1" bestFit="1" customWidth="1"/>
    <col min="33" max="33" width="35.42578125" style="1" customWidth="1"/>
    <col min="34" max="34" width="4.42578125" style="1" customWidth="1"/>
    <col min="35" max="35" width="3.7109375" style="1" customWidth="1"/>
    <col min="36" max="36" width="42" style="1" customWidth="1"/>
    <col min="37" max="37" width="41.7109375" style="1" bestFit="1" customWidth="1"/>
    <col min="38" max="16384" width="8.85546875" style="1"/>
  </cols>
  <sheetData>
    <row r="1" spans="1:37" ht="22.7" customHeight="1" x14ac:dyDescent="0.3">
      <c r="A1" s="172">
        <v>5</v>
      </c>
      <c r="B1" s="173" t="s">
        <v>143</v>
      </c>
      <c r="C1" s="173"/>
      <c r="D1" s="174"/>
      <c r="E1" s="174"/>
      <c r="F1" s="174"/>
      <c r="G1" s="174"/>
      <c r="H1" s="174"/>
      <c r="I1" s="174"/>
      <c r="J1" s="174"/>
      <c r="K1" s="174"/>
      <c r="L1" s="174"/>
      <c r="M1" s="174"/>
      <c r="N1" s="174"/>
      <c r="O1" s="174"/>
      <c r="P1" s="175"/>
      <c r="Q1" s="149"/>
    </row>
    <row r="2" spans="1:37" ht="13.5" customHeight="1" thickBot="1" x14ac:dyDescent="0.35">
      <c r="A2" s="176"/>
      <c r="B2" s="177" t="str">
        <f>IF(A1=1,"",IF(A1=2,"",IF(A1=3,"",IF(A1=4,"",IF(A1=5,"","ERROR Cell A1")))))</f>
        <v/>
      </c>
      <c r="C2" s="323"/>
      <c r="D2" s="178"/>
      <c r="E2" s="178"/>
      <c r="F2" s="178"/>
      <c r="G2" s="178"/>
      <c r="H2" s="178"/>
      <c r="I2" s="178"/>
      <c r="J2" s="178"/>
      <c r="K2" s="178"/>
      <c r="L2" s="178"/>
      <c r="M2" s="178"/>
      <c r="N2" s="178"/>
      <c r="O2" s="178"/>
      <c r="P2" s="179"/>
    </row>
    <row r="3" spans="1:37" ht="13.7" customHeight="1" thickBot="1" x14ac:dyDescent="0.25">
      <c r="A3" s="180"/>
      <c r="B3" s="181" t="s">
        <v>31</v>
      </c>
      <c r="C3" s="182"/>
      <c r="D3" s="183"/>
      <c r="E3" s="184"/>
      <c r="F3" s="184"/>
      <c r="G3" s="184"/>
      <c r="H3" s="184"/>
      <c r="I3" s="184"/>
      <c r="J3" s="184"/>
      <c r="K3" s="185"/>
      <c r="L3" s="184"/>
      <c r="M3" s="184"/>
      <c r="N3" s="184"/>
      <c r="O3" s="184"/>
      <c r="P3" s="184"/>
      <c r="Q3" s="14" t="s">
        <v>130</v>
      </c>
      <c r="S3" s="382"/>
    </row>
    <row r="4" spans="1:37" ht="12" customHeight="1" thickBot="1" x14ac:dyDescent="0.25">
      <c r="A4" s="180"/>
      <c r="B4" s="186" t="str">
        <f ca="1">IF(TODAY()-Q4&gt;240,"This Budget Template is more than 240 Days Old","")</f>
        <v/>
      </c>
      <c r="C4" s="179"/>
      <c r="D4" s="184"/>
      <c r="E4" s="184"/>
      <c r="F4" s="184"/>
      <c r="G4" s="184"/>
      <c r="H4" s="184"/>
      <c r="I4" s="180"/>
      <c r="J4" s="180"/>
      <c r="K4" s="187" t="s">
        <v>1</v>
      </c>
      <c r="L4" s="187" t="s">
        <v>2</v>
      </c>
      <c r="M4" s="187" t="s">
        <v>3</v>
      </c>
      <c r="N4" s="187" t="s">
        <v>35</v>
      </c>
      <c r="O4" s="187" t="s">
        <v>36</v>
      </c>
      <c r="P4" s="188" t="s">
        <v>4</v>
      </c>
      <c r="Q4" s="377">
        <v>46290</v>
      </c>
      <c r="S4" s="5"/>
      <c r="T4" s="6"/>
      <c r="U4" s="6" t="str">
        <f>"AY "&amp;IF(MONTH(K5)&gt;3, MOD(YEAR(K5),100), MOD(YEAR(K5)-1,100))&amp;"-"&amp;IF(MONTH(K5)&gt;3, MOD(YEAR(K5)+1,100), MOD(YEAR(K5),100))</f>
        <v>AY 27-28</v>
      </c>
      <c r="V4" s="6" t="str">
        <f>"AY "&amp;IF(MONTH(K5)&gt;3, MOD(YEAR(K5)+1,100), MOD(YEAR(K5),100))&amp;"-"&amp;IF(MONTH(K5)&gt;3, MOD(YEAR(K5)+2,100), MOD(YEAR(K5)+1,100))</f>
        <v>AY 28-29</v>
      </c>
      <c r="W4" s="6" t="str">
        <f>"AY "&amp;IF(MONTH(K5)&gt;3, MOD(YEAR(K5)+2,100), MOD(YEAR(K5)+1,100))&amp;"-"&amp;IF(MONTH(K5)&gt;3, MOD(YEAR(K5)+3,100), MOD(YEAR(K5)+2,100))</f>
        <v>AY 29-30</v>
      </c>
      <c r="X4" s="6" t="str">
        <f>"AY "&amp;IF(MONTH(K5)&gt;3, MOD(YEAR(K5)+3,100), MOD(YEAR(K5)+2,100))&amp;"-"&amp;IF(MONTH(K5)&gt;3, MOD(YEAR(K5)+4,100), MOD(YEAR(K5)+3,100))</f>
        <v>AY 30-31</v>
      </c>
      <c r="Y4" s="6" t="str">
        <f>"AY "&amp;IF(MONTH(K5)&gt;3, MOD(YEAR(K5)+4,100), MOD(YEAR(K5)+3,100))&amp;"-"&amp;IF(MONTH(K5)&gt;3, MOD(YEAR(K5)+5,100), MOD(YEAR(K5)+4,100))</f>
        <v>AY 31-32</v>
      </c>
      <c r="Z4" s="19" t="str">
        <f>"AY "&amp;IF(MONTH(L5)&gt;3, MOD(YEAR(L5)+4,100), MOD(YEAR(L5)+3,100))&amp;"-"&amp;IF(MONTH(L5)&gt;3, MOD(YEAR(L5)+5,100), MOD(YEAR(L5)+4,100))</f>
        <v>AY 32-33</v>
      </c>
      <c r="AC4" s="93" t="s">
        <v>96</v>
      </c>
      <c r="AD4" s="91" t="s">
        <v>95</v>
      </c>
      <c r="AE4" s="92"/>
      <c r="AF4" s="168" t="s">
        <v>165</v>
      </c>
    </row>
    <row r="5" spans="1:37" ht="15" customHeight="1" x14ac:dyDescent="0.2">
      <c r="A5" s="180"/>
      <c r="B5" s="189" t="s">
        <v>30</v>
      </c>
      <c r="C5" s="180"/>
      <c r="D5" s="184"/>
      <c r="E5" s="184"/>
      <c r="F5" s="184"/>
      <c r="G5" s="184"/>
      <c r="H5" s="184"/>
      <c r="I5" s="180"/>
      <c r="J5" s="179" t="s">
        <v>60</v>
      </c>
      <c r="K5" s="354">
        <v>46569</v>
      </c>
      <c r="L5" s="190">
        <f>K6+1</f>
        <v>46935</v>
      </c>
      <c r="M5" s="190">
        <f>L6+1</f>
        <v>47300</v>
      </c>
      <c r="N5" s="190">
        <f>M6+1</f>
        <v>47665</v>
      </c>
      <c r="O5" s="190">
        <f>N6+1</f>
        <v>48030</v>
      </c>
      <c r="P5" s="191"/>
      <c r="Q5" s="94" t="s">
        <v>56</v>
      </c>
      <c r="S5" s="7"/>
      <c r="Z5" s="8"/>
      <c r="AC5" s="411"/>
      <c r="AD5" s="452" t="s">
        <v>94</v>
      </c>
      <c r="AE5" s="453" t="s">
        <v>297</v>
      </c>
      <c r="AF5" s="168" t="s">
        <v>165</v>
      </c>
      <c r="AG5" s="318" t="s">
        <v>171</v>
      </c>
      <c r="AH5" s="320">
        <v>0</v>
      </c>
      <c r="AJ5" s="327" t="s">
        <v>196</v>
      </c>
      <c r="AK5"/>
    </row>
    <row r="6" spans="1:37" ht="15" customHeight="1" x14ac:dyDescent="0.2">
      <c r="A6" s="180"/>
      <c r="B6" s="184" t="s">
        <v>254</v>
      </c>
      <c r="C6" s="184"/>
      <c r="D6" s="184" t="s">
        <v>30</v>
      </c>
      <c r="E6" s="184"/>
      <c r="F6" s="184"/>
      <c r="G6" s="184"/>
      <c r="H6" s="184"/>
      <c r="I6" s="180"/>
      <c r="J6" s="179" t="s">
        <v>61</v>
      </c>
      <c r="K6" s="190">
        <v>46934</v>
      </c>
      <c r="L6" s="190">
        <f>DATE(YEAR(K6)+1,MONTH(K6),DAY(K6))</f>
        <v>47299</v>
      </c>
      <c r="M6" s="190">
        <f>DATE(YEAR(L6)+1,MONTH(L6),DAY(L6))</f>
        <v>47664</v>
      </c>
      <c r="N6" s="190">
        <f>DATE(YEAR(M6)+1,MONTH(M6),DAY(M6))</f>
        <v>48029</v>
      </c>
      <c r="O6" s="190">
        <f>DATE(YEAR(N6)+1,MONTH(N6),DAY(N6))</f>
        <v>48395</v>
      </c>
      <c r="P6" s="191"/>
      <c r="Q6" s="94" t="s">
        <v>57</v>
      </c>
      <c r="S6" s="7" t="s">
        <v>16</v>
      </c>
      <c r="T6" s="1" t="s">
        <v>202</v>
      </c>
      <c r="U6" s="20">
        <f t="shared" ref="U6:U11" si="0">ROUND(AE6*POWER(AF6,RIGHT($U$4,2)-RIGHT($AE$5,2)),0)</f>
        <v>973</v>
      </c>
      <c r="V6" s="1">
        <f t="shared" ref="V6:V11" si="1">IF($R$8="N",U6,ROUND(U6*AF6,0))</f>
        <v>1002</v>
      </c>
      <c r="W6" s="1">
        <f t="shared" ref="W6:W11" si="2">IF($R$8="N",V6,ROUND(V6*AF6,0))</f>
        <v>1031</v>
      </c>
      <c r="X6" s="1">
        <f t="shared" ref="X6:X11" si="3">IF($R$8="N",W6,ROUND(W6*AF6,0))</f>
        <v>1061</v>
      </c>
      <c r="Y6" s="1">
        <f t="shared" ref="Y6:Y11" si="4">IF($R$8="N",X6,ROUND(X6*AF6,0))</f>
        <v>1092</v>
      </c>
      <c r="Z6" s="8">
        <f t="shared" ref="Z6:Z11" si="5">IF($R$8="N",Y6,ROUND(Y6*AF6,0))</f>
        <v>1124</v>
      </c>
      <c r="AC6" s="411"/>
      <c r="AD6" s="412" t="s">
        <v>89</v>
      </c>
      <c r="AE6" s="453">
        <v>945</v>
      </c>
      <c r="AF6" s="355">
        <v>1.0294000000000001</v>
      </c>
      <c r="AG6" s="318" t="s">
        <v>172</v>
      </c>
      <c r="AH6" s="1">
        <v>3</v>
      </c>
      <c r="AJ6" s="1" t="s">
        <v>215</v>
      </c>
      <c r="AK6" s="327" t="s">
        <v>187</v>
      </c>
    </row>
    <row r="7" spans="1:37" ht="15" customHeight="1" x14ac:dyDescent="0.2">
      <c r="A7" s="180"/>
      <c r="B7" s="184" t="s">
        <v>8</v>
      </c>
      <c r="C7" s="184"/>
      <c r="D7" s="184"/>
      <c r="E7" s="184"/>
      <c r="F7" s="184"/>
      <c r="G7" s="184"/>
      <c r="H7" s="184"/>
      <c r="I7" s="180"/>
      <c r="J7" s="180"/>
      <c r="K7" s="330"/>
      <c r="L7" s="330"/>
      <c r="M7" s="330"/>
      <c r="N7" s="330"/>
      <c r="O7" s="330"/>
      <c r="P7" s="191"/>
      <c r="Q7" s="94" t="s">
        <v>58</v>
      </c>
      <c r="S7" s="7" t="s">
        <v>182</v>
      </c>
      <c r="T7" s="1" t="s">
        <v>202</v>
      </c>
      <c r="U7" s="20">
        <f t="shared" si="0"/>
        <v>823</v>
      </c>
      <c r="V7" s="1">
        <f t="shared" si="1"/>
        <v>848</v>
      </c>
      <c r="W7" s="1">
        <f t="shared" si="2"/>
        <v>873</v>
      </c>
      <c r="X7" s="1">
        <f t="shared" si="3"/>
        <v>899</v>
      </c>
      <c r="Y7" s="1">
        <f t="shared" si="4"/>
        <v>926</v>
      </c>
      <c r="Z7" s="8">
        <f t="shared" si="5"/>
        <v>954</v>
      </c>
      <c r="AC7" s="411"/>
      <c r="AD7" s="412" t="s">
        <v>183</v>
      </c>
      <c r="AE7" s="453">
        <v>799.38</v>
      </c>
      <c r="AF7" s="355">
        <v>1.0298</v>
      </c>
      <c r="AG7" s="318" t="s">
        <v>173</v>
      </c>
      <c r="AH7" s="1">
        <v>4</v>
      </c>
      <c r="AJ7" s="1" t="s">
        <v>224</v>
      </c>
      <c r="AK7" s="327" t="s">
        <v>188</v>
      </c>
    </row>
    <row r="8" spans="1:37" ht="15" customHeight="1" x14ac:dyDescent="0.2">
      <c r="A8" s="180"/>
      <c r="B8" s="184" t="s">
        <v>0</v>
      </c>
      <c r="C8" s="184"/>
      <c r="D8" s="184"/>
      <c r="E8" s="184"/>
      <c r="F8" s="184"/>
      <c r="G8" s="184"/>
      <c r="H8" s="184"/>
      <c r="I8" s="180"/>
      <c r="J8" s="180"/>
      <c r="K8" s="180"/>
      <c r="L8" s="180"/>
      <c r="M8" s="180"/>
      <c r="N8" s="180"/>
      <c r="O8" s="180"/>
      <c r="P8" s="191"/>
      <c r="Q8" s="1" t="s">
        <v>141</v>
      </c>
      <c r="R8" s="24" t="s">
        <v>252</v>
      </c>
      <c r="S8" s="7" t="s">
        <v>16</v>
      </c>
      <c r="T8" s="1" t="s">
        <v>203</v>
      </c>
      <c r="U8" s="20">
        <f>ROUND(AE8*POWER(AF8,RIGHT($U$4,2)-RIGHT($AE$5,2)),0)</f>
        <v>2919</v>
      </c>
      <c r="V8" s="1">
        <f t="shared" si="1"/>
        <v>3071</v>
      </c>
      <c r="W8" s="1">
        <f t="shared" si="2"/>
        <v>3231</v>
      </c>
      <c r="X8" s="1">
        <f t="shared" si="3"/>
        <v>3399</v>
      </c>
      <c r="Y8" s="1">
        <f t="shared" si="4"/>
        <v>3576</v>
      </c>
      <c r="Z8" s="8">
        <f t="shared" si="5"/>
        <v>3762</v>
      </c>
      <c r="AC8" s="411"/>
      <c r="AD8" s="412" t="s">
        <v>90</v>
      </c>
      <c r="AE8" s="457">
        <v>2775</v>
      </c>
      <c r="AF8" s="355">
        <v>1.052</v>
      </c>
      <c r="AG8" s="318" t="s">
        <v>174</v>
      </c>
      <c r="AH8" s="1">
        <v>5</v>
      </c>
      <c r="AJ8" s="1" t="s">
        <v>223</v>
      </c>
      <c r="AK8" s="327" t="s">
        <v>189</v>
      </c>
    </row>
    <row r="9" spans="1:37" ht="15" customHeight="1" x14ac:dyDescent="0.2">
      <c r="A9" s="180"/>
      <c r="B9" s="192" t="s">
        <v>37</v>
      </c>
      <c r="C9" s="192"/>
      <c r="D9" s="184"/>
      <c r="E9" s="184"/>
      <c r="F9" s="184"/>
      <c r="G9" s="184"/>
      <c r="H9" s="184"/>
      <c r="I9" s="180"/>
      <c r="J9" s="180"/>
      <c r="K9" s="180"/>
      <c r="L9" s="180"/>
      <c r="M9" s="180"/>
      <c r="N9" s="180"/>
      <c r="O9" s="180"/>
      <c r="P9" s="191"/>
      <c r="Q9" s="1" t="s">
        <v>142</v>
      </c>
      <c r="R9" s="24" t="s">
        <v>252</v>
      </c>
      <c r="S9" s="7" t="s">
        <v>32</v>
      </c>
      <c r="T9" s="1" t="s">
        <v>203</v>
      </c>
      <c r="U9" s="20">
        <f t="shared" si="0"/>
        <v>2532</v>
      </c>
      <c r="V9" s="1">
        <f t="shared" si="1"/>
        <v>2722</v>
      </c>
      <c r="W9" s="1">
        <f t="shared" si="2"/>
        <v>2926</v>
      </c>
      <c r="X9" s="1">
        <f t="shared" si="3"/>
        <v>3145</v>
      </c>
      <c r="Y9" s="1">
        <f t="shared" si="4"/>
        <v>3381</v>
      </c>
      <c r="Z9" s="8">
        <f t="shared" si="5"/>
        <v>3635</v>
      </c>
      <c r="AC9" s="411"/>
      <c r="AD9" s="412" t="s">
        <v>91</v>
      </c>
      <c r="AE9" s="453">
        <v>2355</v>
      </c>
      <c r="AF9" s="355">
        <v>1.075</v>
      </c>
      <c r="AG9" s="318" t="s">
        <v>175</v>
      </c>
      <c r="AH9" s="1">
        <v>6</v>
      </c>
      <c r="AJ9" s="1" t="s">
        <v>198</v>
      </c>
      <c r="AK9" s="327" t="s">
        <v>190</v>
      </c>
    </row>
    <row r="10" spans="1:37" ht="15" customHeight="1" x14ac:dyDescent="0.2">
      <c r="A10" s="180"/>
      <c r="B10" s="184" t="s">
        <v>38</v>
      </c>
      <c r="C10" s="193"/>
      <c r="D10" s="193" t="s">
        <v>47</v>
      </c>
      <c r="E10" s="180" t="s">
        <v>41</v>
      </c>
      <c r="F10" s="180" t="s">
        <v>42</v>
      </c>
      <c r="G10" s="180" t="s">
        <v>43</v>
      </c>
      <c r="H10" s="180" t="s">
        <v>44</v>
      </c>
      <c r="I10" s="180" t="s">
        <v>45</v>
      </c>
      <c r="J10" s="180"/>
      <c r="K10" s="180"/>
      <c r="L10" s="180"/>
      <c r="M10" s="180"/>
      <c r="N10" s="180"/>
      <c r="O10" s="180"/>
      <c r="P10" s="191"/>
      <c r="S10" s="7" t="s">
        <v>29</v>
      </c>
      <c r="T10" s="1" t="s">
        <v>15</v>
      </c>
      <c r="U10" s="20">
        <f t="shared" si="0"/>
        <v>5999</v>
      </c>
      <c r="V10" s="1">
        <f t="shared" si="1"/>
        <v>6161</v>
      </c>
      <c r="W10" s="1">
        <f t="shared" si="2"/>
        <v>6327</v>
      </c>
      <c r="X10" s="1">
        <f t="shared" si="3"/>
        <v>6498</v>
      </c>
      <c r="Y10" s="1">
        <f t="shared" si="4"/>
        <v>6673</v>
      </c>
      <c r="Z10" s="8">
        <f t="shared" si="5"/>
        <v>6853</v>
      </c>
      <c r="AC10" s="411"/>
      <c r="AD10" s="412" t="s">
        <v>93</v>
      </c>
      <c r="AE10" s="415">
        <v>5841</v>
      </c>
      <c r="AF10" s="355">
        <v>1.0269999999999999</v>
      </c>
      <c r="AG10" s="318" t="s">
        <v>176</v>
      </c>
      <c r="AH10" s="1">
        <v>7</v>
      </c>
      <c r="AJ10" s="1" t="s">
        <v>199</v>
      </c>
      <c r="AK10" s="327" t="s">
        <v>191</v>
      </c>
    </row>
    <row r="11" spans="1:37" ht="13.7" customHeight="1" x14ac:dyDescent="0.2">
      <c r="A11" s="180"/>
      <c r="B11" s="184" t="s">
        <v>40</v>
      </c>
      <c r="C11" s="150" t="s">
        <v>201</v>
      </c>
      <c r="D11" s="194" t="s">
        <v>46</v>
      </c>
      <c r="E11" s="195" t="s">
        <v>253</v>
      </c>
      <c r="F11" s="195" t="s">
        <v>253</v>
      </c>
      <c r="G11" s="195" t="s">
        <v>253</v>
      </c>
      <c r="H11" s="195" t="s">
        <v>253</v>
      </c>
      <c r="I11" s="195" t="s">
        <v>253</v>
      </c>
      <c r="J11" s="195"/>
      <c r="K11" s="196"/>
      <c r="L11" s="196"/>
      <c r="M11" s="196"/>
      <c r="N11" s="196"/>
      <c r="O11" s="196"/>
      <c r="P11" s="197"/>
      <c r="Q11" s="1" t="s">
        <v>30</v>
      </c>
      <c r="S11" s="7" t="s">
        <v>51</v>
      </c>
      <c r="T11" s="1" t="s">
        <v>15</v>
      </c>
      <c r="U11" s="20">
        <f t="shared" si="0"/>
        <v>11156</v>
      </c>
      <c r="V11" s="1">
        <f t="shared" si="1"/>
        <v>11457</v>
      </c>
      <c r="W11" s="1">
        <f t="shared" si="2"/>
        <v>11766</v>
      </c>
      <c r="X11" s="1">
        <f t="shared" si="3"/>
        <v>12084</v>
      </c>
      <c r="Y11" s="1">
        <f t="shared" si="4"/>
        <v>12410</v>
      </c>
      <c r="Z11" s="8">
        <f t="shared" si="5"/>
        <v>12745</v>
      </c>
      <c r="AC11" s="411"/>
      <c r="AD11" s="412" t="s">
        <v>92</v>
      </c>
      <c r="AE11" s="415">
        <v>10863</v>
      </c>
      <c r="AF11" s="355">
        <v>1.0269999999999999</v>
      </c>
      <c r="AG11" s="318" t="s">
        <v>177</v>
      </c>
      <c r="AH11" s="1">
        <v>8</v>
      </c>
      <c r="AJ11" s="1" t="s">
        <v>200</v>
      </c>
      <c r="AK11" s="327" t="s">
        <v>192</v>
      </c>
    </row>
    <row r="12" spans="1:37" ht="15" customHeight="1" thickBot="1" x14ac:dyDescent="0.25">
      <c r="A12" s="180"/>
      <c r="B12" s="196"/>
      <c r="C12" s="245" t="s">
        <v>196</v>
      </c>
      <c r="D12" s="198"/>
      <c r="E12" s="199"/>
      <c r="F12" s="199"/>
      <c r="G12" s="199"/>
      <c r="H12" s="199"/>
      <c r="I12" s="199"/>
      <c r="J12" s="199"/>
      <c r="K12" s="200">
        <f>ROUND(D12*E12,0)</f>
        <v>0</v>
      </c>
      <c r="L12" s="200">
        <f>IF($A$1&gt;1,ROUND(D12*F12*$U$14,0),0)</f>
        <v>0</v>
      </c>
      <c r="M12" s="200">
        <f>IF($A$1&gt;2,ROUND(D12*G12*$U$14^2,0),0)</f>
        <v>0</v>
      </c>
      <c r="N12" s="200">
        <f>IF($A$1&gt;3,ROUND(D12*H12*$U$14^3,0),0)</f>
        <v>0</v>
      </c>
      <c r="O12" s="200">
        <f>IF($A$1&gt;4,ROUND(D12*I12*$U$14^4,0),0)</f>
        <v>0</v>
      </c>
      <c r="P12" s="201">
        <f>SUM(K12:O12)</f>
        <v>0</v>
      </c>
      <c r="S12" s="7" t="s">
        <v>52</v>
      </c>
      <c r="T12" s="1" t="s">
        <v>15</v>
      </c>
      <c r="U12" s="1">
        <v>0</v>
      </c>
      <c r="V12" s="9">
        <f>ROUND(U12*AF12,0)</f>
        <v>0</v>
      </c>
      <c r="W12" s="9">
        <f>ROUND(V12*AF12,0)</f>
        <v>0</v>
      </c>
      <c r="X12" s="9">
        <f>ROUND(W12*AF12,0)</f>
        <v>0</v>
      </c>
      <c r="Y12" s="9">
        <f>ROUND(X12*AF12,0)</f>
        <v>0</v>
      </c>
      <c r="Z12" s="21">
        <f>ROUND(Y12*AF12,0)</f>
        <v>0</v>
      </c>
      <c r="AC12" s="413"/>
      <c r="AD12" s="414" t="s">
        <v>15</v>
      </c>
      <c r="AE12" s="415">
        <v>0</v>
      </c>
      <c r="AF12" s="355">
        <v>1.0269999999999999</v>
      </c>
      <c r="AJ12" s="1" t="s">
        <v>226</v>
      </c>
      <c r="AK12" s="327" t="s">
        <v>226</v>
      </c>
    </row>
    <row r="13" spans="1:37" x14ac:dyDescent="0.2">
      <c r="A13" s="180"/>
      <c r="B13" s="196"/>
      <c r="C13" s="245" t="s">
        <v>196</v>
      </c>
      <c r="D13" s="198"/>
      <c r="E13" s="199"/>
      <c r="F13" s="199"/>
      <c r="G13" s="199"/>
      <c r="H13" s="199"/>
      <c r="I13" s="199"/>
      <c r="J13" s="199"/>
      <c r="K13" s="200">
        <f t="shared" ref="K13:K22" si="6">ROUND(D13*E13,0)</f>
        <v>0</v>
      </c>
      <c r="L13" s="200">
        <f t="shared" ref="L13:L22" si="7">IF($A$1&gt;1,ROUND(D13*F13*$U$14,0),0)</f>
        <v>0</v>
      </c>
      <c r="M13" s="200">
        <f t="shared" ref="M13:M22" si="8">IF($A$1&gt;2,ROUND(D13*G13*$U$14^2,0),0)</f>
        <v>0</v>
      </c>
      <c r="N13" s="200">
        <f t="shared" ref="N13:N22" si="9">IF($A$1&gt;3,ROUND(D13*H13*$U$14^3,0),0)</f>
        <v>0</v>
      </c>
      <c r="O13" s="200">
        <f t="shared" ref="O13:O22" si="10">IF($A$1&gt;4,ROUND(D13*I13*$U$14^4,0),0)</f>
        <v>0</v>
      </c>
      <c r="P13" s="201">
        <f t="shared" ref="P13:P22" si="11">SUM(K13:O13)</f>
        <v>0</v>
      </c>
      <c r="Q13" s="90"/>
      <c r="S13" s="400" t="s">
        <v>204</v>
      </c>
      <c r="T13" s="401"/>
      <c r="U13" s="402">
        <f>IF($R$8="Y",1.04,1)</f>
        <v>1.04</v>
      </c>
      <c r="V13" s="12"/>
      <c r="AJ13" s="1" t="s">
        <v>222</v>
      </c>
      <c r="AK13" s="327" t="s">
        <v>222</v>
      </c>
    </row>
    <row r="14" spans="1:37" ht="14.25" x14ac:dyDescent="0.2">
      <c r="A14" s="180"/>
      <c r="B14" s="196"/>
      <c r="C14" s="245" t="s">
        <v>196</v>
      </c>
      <c r="D14" s="198"/>
      <c r="E14" s="199"/>
      <c r="F14" s="199"/>
      <c r="G14" s="199"/>
      <c r="H14" s="199"/>
      <c r="I14" s="199"/>
      <c r="J14" s="199"/>
      <c r="K14" s="200">
        <f t="shared" si="6"/>
        <v>0</v>
      </c>
      <c r="L14" s="200">
        <f t="shared" si="7"/>
        <v>0</v>
      </c>
      <c r="M14" s="200">
        <f t="shared" si="8"/>
        <v>0</v>
      </c>
      <c r="N14" s="200">
        <f t="shared" si="9"/>
        <v>0</v>
      </c>
      <c r="O14" s="200">
        <f t="shared" si="10"/>
        <v>0</v>
      </c>
      <c r="P14" s="201">
        <f t="shared" si="11"/>
        <v>0</v>
      </c>
      <c r="S14" s="449" t="s">
        <v>84</v>
      </c>
      <c r="T14" s="450"/>
      <c r="U14" s="451">
        <f>IF($R$8="Y",1.03,1)</f>
        <v>1.03</v>
      </c>
      <c r="AB14" s="356"/>
      <c r="AC14" s="356"/>
      <c r="AD14" s="382"/>
      <c r="AF14" s="356"/>
      <c r="AG14" s="356"/>
      <c r="AJ14" s="1" t="s">
        <v>197</v>
      </c>
      <c r="AK14" s="327" t="s">
        <v>189</v>
      </c>
    </row>
    <row r="15" spans="1:37" ht="13.5" thickBot="1" x14ac:dyDescent="0.25">
      <c r="A15" s="180"/>
      <c r="B15" s="196"/>
      <c r="C15" s="245" t="s">
        <v>196</v>
      </c>
      <c r="D15" s="198"/>
      <c r="E15" s="199"/>
      <c r="F15" s="199"/>
      <c r="G15" s="199"/>
      <c r="H15" s="199"/>
      <c r="I15" s="199"/>
      <c r="J15" s="199"/>
      <c r="K15" s="200">
        <f t="shared" si="6"/>
        <v>0</v>
      </c>
      <c r="L15" s="200">
        <f t="shared" si="7"/>
        <v>0</v>
      </c>
      <c r="M15" s="200">
        <f t="shared" si="8"/>
        <v>0</v>
      </c>
      <c r="N15" s="200">
        <f t="shared" si="9"/>
        <v>0</v>
      </c>
      <c r="O15" s="200">
        <f t="shared" si="10"/>
        <v>0</v>
      </c>
      <c r="P15" s="201">
        <f t="shared" si="11"/>
        <v>0</v>
      </c>
      <c r="S15" s="403" t="s">
        <v>85</v>
      </c>
      <c r="T15" s="404"/>
      <c r="U15" s="405">
        <f>IF($R$9="Y",1.037,1)</f>
        <v>1.0369999999999999</v>
      </c>
      <c r="V15" s="12"/>
    </row>
    <row r="16" spans="1:37" x14ac:dyDescent="0.2">
      <c r="A16" s="180"/>
      <c r="B16" s="196"/>
      <c r="C16" s="245" t="s">
        <v>196</v>
      </c>
      <c r="D16" s="198"/>
      <c r="E16" s="199"/>
      <c r="F16" s="199"/>
      <c r="G16" s="199"/>
      <c r="H16" s="199"/>
      <c r="I16" s="199"/>
      <c r="J16" s="199"/>
      <c r="K16" s="200">
        <f t="shared" si="6"/>
        <v>0</v>
      </c>
      <c r="L16" s="200">
        <f t="shared" si="7"/>
        <v>0</v>
      </c>
      <c r="M16" s="200">
        <f t="shared" si="8"/>
        <v>0</v>
      </c>
      <c r="N16" s="200">
        <f t="shared" si="9"/>
        <v>0</v>
      </c>
      <c r="O16" s="200">
        <f t="shared" si="10"/>
        <v>0</v>
      </c>
      <c r="P16" s="201">
        <f t="shared" si="11"/>
        <v>0</v>
      </c>
      <c r="S16" s="382"/>
      <c r="U16" s="12"/>
      <c r="V16" s="12"/>
    </row>
    <row r="17" spans="1:31" x14ac:dyDescent="0.2">
      <c r="A17" s="180"/>
      <c r="B17" s="196"/>
      <c r="C17" s="245" t="s">
        <v>196</v>
      </c>
      <c r="D17" s="198"/>
      <c r="E17" s="199"/>
      <c r="F17" s="199"/>
      <c r="G17" s="199"/>
      <c r="H17" s="199"/>
      <c r="I17" s="199"/>
      <c r="J17" s="199"/>
      <c r="K17" s="200">
        <f t="shared" si="6"/>
        <v>0</v>
      </c>
      <c r="L17" s="200">
        <f t="shared" si="7"/>
        <v>0</v>
      </c>
      <c r="M17" s="200">
        <f t="shared" si="8"/>
        <v>0</v>
      </c>
      <c r="N17" s="200">
        <f t="shared" si="9"/>
        <v>0</v>
      </c>
      <c r="O17" s="200">
        <f t="shared" si="10"/>
        <v>0</v>
      </c>
      <c r="P17" s="201">
        <f t="shared" si="11"/>
        <v>0</v>
      </c>
    </row>
    <row r="18" spans="1:31" ht="14.25" x14ac:dyDescent="0.2">
      <c r="A18" s="180"/>
      <c r="B18" s="196"/>
      <c r="C18" s="245" t="s">
        <v>196</v>
      </c>
      <c r="D18" s="198"/>
      <c r="E18" s="199"/>
      <c r="F18" s="199"/>
      <c r="G18" s="199"/>
      <c r="H18" s="199"/>
      <c r="I18" s="199"/>
      <c r="J18" s="199"/>
      <c r="K18" s="200">
        <f t="shared" si="6"/>
        <v>0</v>
      </c>
      <c r="L18" s="200">
        <f t="shared" si="7"/>
        <v>0</v>
      </c>
      <c r="M18" s="200">
        <f t="shared" si="8"/>
        <v>0</v>
      </c>
      <c r="N18" s="200">
        <f t="shared" si="9"/>
        <v>0</v>
      </c>
      <c r="O18" s="200">
        <f t="shared" si="10"/>
        <v>0</v>
      </c>
      <c r="P18" s="201">
        <f t="shared" si="11"/>
        <v>0</v>
      </c>
      <c r="S18" s="17"/>
      <c r="T18" s="440"/>
      <c r="U18" s="440"/>
      <c r="X18" s="356"/>
      <c r="Y18" s="356"/>
      <c r="Z18" s="356"/>
    </row>
    <row r="19" spans="1:31" x14ac:dyDescent="0.2">
      <c r="A19" s="180"/>
      <c r="B19" s="196"/>
      <c r="C19" s="245" t="s">
        <v>196</v>
      </c>
      <c r="D19" s="198"/>
      <c r="E19" s="199"/>
      <c r="F19" s="199"/>
      <c r="G19" s="199"/>
      <c r="H19" s="199"/>
      <c r="I19" s="199"/>
      <c r="J19" s="199"/>
      <c r="K19" s="200">
        <f t="shared" si="6"/>
        <v>0</v>
      </c>
      <c r="L19" s="200">
        <f t="shared" si="7"/>
        <v>0</v>
      </c>
      <c r="M19" s="200">
        <f t="shared" si="8"/>
        <v>0</v>
      </c>
      <c r="N19" s="200">
        <f t="shared" si="9"/>
        <v>0</v>
      </c>
      <c r="O19" s="200">
        <f t="shared" si="10"/>
        <v>0</v>
      </c>
      <c r="P19" s="201">
        <f t="shared" si="11"/>
        <v>0</v>
      </c>
      <c r="S19" s="17"/>
      <c r="T19" s="454"/>
    </row>
    <row r="20" spans="1:31" x14ac:dyDescent="0.2">
      <c r="A20" s="180"/>
      <c r="B20" s="202"/>
      <c r="C20" s="245" t="s">
        <v>196</v>
      </c>
      <c r="D20" s="198"/>
      <c r="E20" s="199"/>
      <c r="F20" s="199"/>
      <c r="G20" s="199"/>
      <c r="H20" s="199"/>
      <c r="I20" s="199"/>
      <c r="J20" s="199"/>
      <c r="K20" s="200">
        <f t="shared" si="6"/>
        <v>0</v>
      </c>
      <c r="L20" s="200">
        <f t="shared" si="7"/>
        <v>0</v>
      </c>
      <c r="M20" s="200">
        <f t="shared" si="8"/>
        <v>0</v>
      </c>
      <c r="N20" s="200">
        <f t="shared" si="9"/>
        <v>0</v>
      </c>
      <c r="O20" s="200">
        <f t="shared" si="10"/>
        <v>0</v>
      </c>
      <c r="P20" s="201">
        <f t="shared" si="11"/>
        <v>0</v>
      </c>
    </row>
    <row r="21" spans="1:31" x14ac:dyDescent="0.2">
      <c r="A21" s="180"/>
      <c r="B21" s="202"/>
      <c r="C21" s="245" t="s">
        <v>196</v>
      </c>
      <c r="D21" s="198"/>
      <c r="E21" s="199"/>
      <c r="F21" s="199"/>
      <c r="G21" s="199"/>
      <c r="H21" s="199"/>
      <c r="I21" s="199"/>
      <c r="J21" s="199"/>
      <c r="K21" s="200">
        <f t="shared" si="6"/>
        <v>0</v>
      </c>
      <c r="L21" s="200">
        <f t="shared" si="7"/>
        <v>0</v>
      </c>
      <c r="M21" s="200">
        <f t="shared" si="8"/>
        <v>0</v>
      </c>
      <c r="N21" s="200">
        <f t="shared" si="9"/>
        <v>0</v>
      </c>
      <c r="O21" s="200">
        <f t="shared" si="10"/>
        <v>0</v>
      </c>
      <c r="P21" s="201">
        <f t="shared" si="11"/>
        <v>0</v>
      </c>
      <c r="V21" s="440"/>
    </row>
    <row r="22" spans="1:31" x14ac:dyDescent="0.2">
      <c r="A22" s="180"/>
      <c r="B22" s="202"/>
      <c r="C22" s="245" t="s">
        <v>196</v>
      </c>
      <c r="D22" s="198"/>
      <c r="E22" s="199"/>
      <c r="F22" s="199"/>
      <c r="G22" s="199"/>
      <c r="H22" s="199"/>
      <c r="I22" s="199"/>
      <c r="J22" s="199"/>
      <c r="K22" s="200">
        <f t="shared" si="6"/>
        <v>0</v>
      </c>
      <c r="L22" s="200">
        <f t="shared" si="7"/>
        <v>0</v>
      </c>
      <c r="M22" s="200">
        <f t="shared" si="8"/>
        <v>0</v>
      </c>
      <c r="N22" s="200">
        <f t="shared" si="9"/>
        <v>0</v>
      </c>
      <c r="O22" s="200">
        <f t="shared" si="10"/>
        <v>0</v>
      </c>
      <c r="P22" s="201">
        <f t="shared" si="11"/>
        <v>0</v>
      </c>
      <c r="AE22" s="1" t="s">
        <v>30</v>
      </c>
    </row>
    <row r="23" spans="1:31" ht="14.25" x14ac:dyDescent="0.2">
      <c r="A23" s="180"/>
      <c r="B23" s="192" t="s">
        <v>37</v>
      </c>
      <c r="C23" s="193"/>
      <c r="D23" s="193" t="s">
        <v>47</v>
      </c>
      <c r="E23" s="180" t="s">
        <v>41</v>
      </c>
      <c r="F23" s="180" t="s">
        <v>42</v>
      </c>
      <c r="G23" s="180" t="s">
        <v>43</v>
      </c>
      <c r="H23" s="180" t="s">
        <v>44</v>
      </c>
      <c r="I23" s="180" t="s">
        <v>45</v>
      </c>
      <c r="J23" s="180"/>
      <c r="K23" s="200"/>
      <c r="L23" s="200"/>
      <c r="M23" s="200"/>
      <c r="N23" s="200"/>
      <c r="O23" s="200"/>
      <c r="P23" s="201"/>
    </row>
    <row r="24" spans="1:31" x14ac:dyDescent="0.2">
      <c r="A24" s="180"/>
      <c r="B24" s="203" t="s">
        <v>39</v>
      </c>
      <c r="C24" s="150" t="s">
        <v>201</v>
      </c>
      <c r="D24" s="194" t="s">
        <v>46</v>
      </c>
      <c r="E24" s="195" t="s">
        <v>49</v>
      </c>
      <c r="F24" s="195" t="s">
        <v>49</v>
      </c>
      <c r="G24" s="195" t="s">
        <v>49</v>
      </c>
      <c r="H24" s="195" t="s">
        <v>49</v>
      </c>
      <c r="I24" s="195" t="s">
        <v>49</v>
      </c>
      <c r="J24" s="195"/>
      <c r="K24" s="200"/>
      <c r="L24" s="200"/>
      <c r="M24" s="200"/>
      <c r="N24" s="200"/>
      <c r="O24" s="200"/>
      <c r="P24" s="201"/>
      <c r="S24" s="17"/>
      <c r="T24" s="454"/>
    </row>
    <row r="25" spans="1:31" x14ac:dyDescent="0.2">
      <c r="A25" s="180"/>
      <c r="B25" s="196"/>
      <c r="C25" s="245" t="str">
        <f t="shared" ref="C25:C30" si="12">IF(B25="","","9 Month Faculty/Staff (SU)")</f>
        <v/>
      </c>
      <c r="D25" s="396"/>
      <c r="E25" s="199"/>
      <c r="F25" s="199"/>
      <c r="G25" s="199"/>
      <c r="H25" s="199"/>
      <c r="I25" s="199"/>
      <c r="J25" s="199"/>
      <c r="K25" s="200">
        <f t="shared" ref="K25:K30" si="13">ROUND(D25*E25,0)</f>
        <v>0</v>
      </c>
      <c r="L25" s="200">
        <f t="shared" ref="L25:L30" si="14">IF($A$1&gt;1,ROUND(D25*F25*$U$14,0),0)</f>
        <v>0</v>
      </c>
      <c r="M25" s="200">
        <f t="shared" ref="M25:M30" si="15">IF($A$1&gt;2,ROUND(D25*G25*$U$14^2,0),0)</f>
        <v>0</v>
      </c>
      <c r="N25" s="200">
        <f t="shared" ref="N25:N30" si="16">IF($A$1&gt;3,ROUND(D25*H25*$U$14^3,0),0)</f>
        <v>0</v>
      </c>
      <c r="O25" s="200">
        <f t="shared" ref="O25:O30" si="17">IF($A$1&gt;4,ROUND(D25*I25*$U$14^4,0),0)</f>
        <v>0</v>
      </c>
      <c r="P25" s="201">
        <f t="shared" ref="P25:P30" si="18">SUM(K25:O25)</f>
        <v>0</v>
      </c>
      <c r="S25" s="17"/>
      <c r="T25" s="17"/>
      <c r="U25" s="17"/>
    </row>
    <row r="26" spans="1:31" x14ac:dyDescent="0.2">
      <c r="A26" s="180"/>
      <c r="B26" s="198"/>
      <c r="C26" s="245" t="str">
        <f t="shared" si="12"/>
        <v/>
      </c>
      <c r="D26" s="198"/>
      <c r="E26" s="199"/>
      <c r="F26" s="199"/>
      <c r="G26" s="199"/>
      <c r="H26" s="199"/>
      <c r="I26" s="199"/>
      <c r="J26" s="199"/>
      <c r="K26" s="200">
        <f t="shared" si="13"/>
        <v>0</v>
      </c>
      <c r="L26" s="200">
        <f t="shared" si="14"/>
        <v>0</v>
      </c>
      <c r="M26" s="200">
        <f t="shared" si="15"/>
        <v>0</v>
      </c>
      <c r="N26" s="200">
        <f t="shared" si="16"/>
        <v>0</v>
      </c>
      <c r="O26" s="200">
        <f t="shared" si="17"/>
        <v>0</v>
      </c>
      <c r="P26" s="201">
        <f t="shared" si="18"/>
        <v>0</v>
      </c>
      <c r="T26" s="3"/>
    </row>
    <row r="27" spans="1:31" x14ac:dyDescent="0.2">
      <c r="A27" s="180"/>
      <c r="B27" s="198"/>
      <c r="C27" s="245" t="str">
        <f t="shared" si="12"/>
        <v/>
      </c>
      <c r="D27" s="198"/>
      <c r="E27" s="199"/>
      <c r="F27" s="199"/>
      <c r="G27" s="199"/>
      <c r="H27" s="199"/>
      <c r="I27" s="199"/>
      <c r="J27" s="199"/>
      <c r="K27" s="200">
        <f t="shared" si="13"/>
        <v>0</v>
      </c>
      <c r="L27" s="200">
        <f t="shared" si="14"/>
        <v>0</v>
      </c>
      <c r="M27" s="200">
        <f t="shared" si="15"/>
        <v>0</v>
      </c>
      <c r="N27" s="200">
        <f t="shared" si="16"/>
        <v>0</v>
      </c>
      <c r="O27" s="200">
        <f t="shared" si="17"/>
        <v>0</v>
      </c>
      <c r="P27" s="201">
        <f t="shared" si="18"/>
        <v>0</v>
      </c>
      <c r="T27" s="3"/>
    </row>
    <row r="28" spans="1:31" x14ac:dyDescent="0.2">
      <c r="A28" s="180"/>
      <c r="B28" s="198"/>
      <c r="C28" s="245" t="str">
        <f t="shared" si="12"/>
        <v/>
      </c>
      <c r="D28" s="198"/>
      <c r="E28" s="199"/>
      <c r="F28" s="199"/>
      <c r="G28" s="199"/>
      <c r="H28" s="199"/>
      <c r="I28" s="199"/>
      <c r="J28" s="199"/>
      <c r="K28" s="200">
        <f t="shared" si="13"/>
        <v>0</v>
      </c>
      <c r="L28" s="200">
        <f t="shared" si="14"/>
        <v>0</v>
      </c>
      <c r="M28" s="200">
        <f t="shared" si="15"/>
        <v>0</v>
      </c>
      <c r="N28" s="200">
        <f t="shared" si="16"/>
        <v>0</v>
      </c>
      <c r="O28" s="200">
        <f t="shared" si="17"/>
        <v>0</v>
      </c>
      <c r="P28" s="201">
        <f t="shared" si="18"/>
        <v>0</v>
      </c>
      <c r="V28" s="17"/>
    </row>
    <row r="29" spans="1:31" x14ac:dyDescent="0.2">
      <c r="A29" s="180"/>
      <c r="B29" s="198"/>
      <c r="C29" s="245" t="str">
        <f t="shared" si="12"/>
        <v/>
      </c>
      <c r="D29" s="198"/>
      <c r="E29" s="199"/>
      <c r="F29" s="199"/>
      <c r="G29" s="199"/>
      <c r="H29" s="199"/>
      <c r="I29" s="199"/>
      <c r="J29" s="199"/>
      <c r="K29" s="200">
        <f t="shared" si="13"/>
        <v>0</v>
      </c>
      <c r="L29" s="200">
        <f t="shared" si="14"/>
        <v>0</v>
      </c>
      <c r="M29" s="200">
        <f t="shared" si="15"/>
        <v>0</v>
      </c>
      <c r="N29" s="200">
        <f t="shared" si="16"/>
        <v>0</v>
      </c>
      <c r="O29" s="200">
        <f t="shared" si="17"/>
        <v>0</v>
      </c>
      <c r="P29" s="201">
        <f t="shared" si="18"/>
        <v>0</v>
      </c>
      <c r="T29" s="18"/>
    </row>
    <row r="30" spans="1:31" x14ac:dyDescent="0.2">
      <c r="A30" s="180"/>
      <c r="B30" s="198"/>
      <c r="C30" s="245" t="str">
        <f t="shared" si="12"/>
        <v/>
      </c>
      <c r="D30" s="198"/>
      <c r="E30" s="199"/>
      <c r="F30" s="199"/>
      <c r="G30" s="199"/>
      <c r="H30" s="199"/>
      <c r="I30" s="199"/>
      <c r="J30" s="199"/>
      <c r="K30" s="200">
        <f t="shared" si="13"/>
        <v>0</v>
      </c>
      <c r="L30" s="200">
        <f t="shared" si="14"/>
        <v>0</v>
      </c>
      <c r="M30" s="200">
        <f t="shared" si="15"/>
        <v>0</v>
      </c>
      <c r="N30" s="200">
        <f t="shared" si="16"/>
        <v>0</v>
      </c>
      <c r="O30" s="200">
        <f t="shared" si="17"/>
        <v>0</v>
      </c>
      <c r="P30" s="201">
        <f t="shared" si="18"/>
        <v>0</v>
      </c>
      <c r="T30" s="3"/>
    </row>
    <row r="31" spans="1:31" x14ac:dyDescent="0.2">
      <c r="A31" s="180"/>
      <c r="B31" s="179"/>
      <c r="C31" s="179"/>
      <c r="D31" s="221"/>
      <c r="E31" s="221"/>
      <c r="F31" s="221"/>
      <c r="G31" s="221"/>
      <c r="H31" s="221"/>
      <c r="I31" s="329"/>
      <c r="J31" s="329"/>
      <c r="K31" s="328"/>
      <c r="L31" s="328"/>
      <c r="M31" s="328"/>
      <c r="N31" s="328"/>
      <c r="O31" s="328"/>
      <c r="P31" s="247"/>
      <c r="R31" s="11"/>
      <c r="T31" s="3"/>
    </row>
    <row r="32" spans="1:31" x14ac:dyDescent="0.2">
      <c r="A32" s="180"/>
      <c r="B32" s="196" t="s">
        <v>48</v>
      </c>
      <c r="C32" s="196"/>
      <c r="D32" s="198"/>
      <c r="E32" s="198"/>
      <c r="F32" s="198"/>
      <c r="G32" s="198"/>
      <c r="H32" s="198"/>
      <c r="I32" s="205"/>
      <c r="J32" s="205"/>
      <c r="K32" s="200"/>
      <c r="L32" s="200">
        <f>IF($A$1&gt;1,ROUND(K32*$U$14,0),0)</f>
        <v>0</v>
      </c>
      <c r="M32" s="200">
        <f>IF($A$1&gt;2,ROUND(L32*$U$14,0),0)</f>
        <v>0</v>
      </c>
      <c r="N32" s="200">
        <f>IF($A$1&gt;3,ROUND(M32*$U$14,0),0)</f>
        <v>0</v>
      </c>
      <c r="O32" s="200">
        <f>IF($A$1&gt;4,ROUND(N32*$U$14,0),0)</f>
        <v>0</v>
      </c>
      <c r="P32" s="201">
        <f>SUM(K32:O32)</f>
        <v>0</v>
      </c>
      <c r="T32" s="3"/>
    </row>
    <row r="33" spans="1:26" x14ac:dyDescent="0.2">
      <c r="A33" s="180"/>
      <c r="B33" s="196" t="s">
        <v>128</v>
      </c>
      <c r="C33" s="196"/>
      <c r="D33" s="198"/>
      <c r="E33" s="198"/>
      <c r="F33" s="198"/>
      <c r="G33" s="198"/>
      <c r="H33" s="198"/>
      <c r="I33" s="205"/>
      <c r="J33" s="205"/>
      <c r="K33" s="200"/>
      <c r="L33" s="200">
        <f>IF($A$1&gt;1,ROUND(K33*$U$14,0),0)</f>
        <v>0</v>
      </c>
      <c r="M33" s="200">
        <f>IF($A$1&gt;2,ROUND(L33*$U$14,0),0)</f>
        <v>0</v>
      </c>
      <c r="N33" s="200">
        <f>IF($A$1&gt;3,ROUND(M33*$U$14,0),0)</f>
        <v>0</v>
      </c>
      <c r="O33" s="200">
        <f>IF($A$1&gt;4,ROUND(N33*$U$14,0),0)</f>
        <v>0</v>
      </c>
      <c r="P33" s="201">
        <f>SUM(K33:O33)</f>
        <v>0</v>
      </c>
      <c r="S33" s="17"/>
      <c r="U33" s="17"/>
      <c r="V33" s="17"/>
      <c r="X33" s="18"/>
      <c r="Y33" s="18"/>
      <c r="Z33" s="18"/>
    </row>
    <row r="34" spans="1:26" x14ac:dyDescent="0.2">
      <c r="A34" s="180"/>
      <c r="B34" s="179"/>
      <c r="C34" s="179"/>
      <c r="D34" s="221"/>
      <c r="E34" s="221"/>
      <c r="F34" s="221"/>
      <c r="G34" s="221"/>
      <c r="H34" s="221"/>
      <c r="I34" s="329"/>
      <c r="J34" s="329"/>
      <c r="K34" s="328"/>
      <c r="L34" s="328"/>
      <c r="M34" s="328"/>
      <c r="N34" s="328"/>
      <c r="O34" s="328"/>
      <c r="P34" s="247"/>
      <c r="T34" s="3"/>
      <c r="X34" s="18"/>
      <c r="Y34" s="18"/>
      <c r="Z34" s="18"/>
    </row>
    <row r="35" spans="1:26" ht="14.25" x14ac:dyDescent="0.2">
      <c r="A35" s="180"/>
      <c r="B35" s="192" t="s">
        <v>205</v>
      </c>
      <c r="C35" s="193"/>
      <c r="D35" s="193" t="s">
        <v>47</v>
      </c>
      <c r="E35" s="180" t="s">
        <v>41</v>
      </c>
      <c r="F35" s="180" t="s">
        <v>42</v>
      </c>
      <c r="G35" s="180" t="s">
        <v>43</v>
      </c>
      <c r="H35" s="180" t="s">
        <v>44</v>
      </c>
      <c r="I35" s="180" t="s">
        <v>45</v>
      </c>
      <c r="J35" s="180"/>
      <c r="K35" s="206"/>
      <c r="L35" s="206"/>
      <c r="M35" s="206"/>
      <c r="N35" s="206"/>
      <c r="O35" s="206"/>
      <c r="P35" s="207"/>
      <c r="T35" s="3"/>
      <c r="V35" s="18"/>
      <c r="X35" s="18"/>
      <c r="Y35" s="18"/>
      <c r="Z35" s="18"/>
    </row>
    <row r="36" spans="1:26" x14ac:dyDescent="0.2">
      <c r="A36" s="180"/>
      <c r="B36" s="203" t="s">
        <v>206</v>
      </c>
      <c r="C36" s="193"/>
      <c r="D36" s="194" t="s">
        <v>59</v>
      </c>
      <c r="E36" s="195" t="s">
        <v>49</v>
      </c>
      <c r="F36" s="195" t="s">
        <v>49</v>
      </c>
      <c r="G36" s="195" t="s">
        <v>49</v>
      </c>
      <c r="H36" s="195" t="s">
        <v>49</v>
      </c>
      <c r="I36" s="195" t="s">
        <v>49</v>
      </c>
      <c r="J36" s="195"/>
      <c r="K36" s="206"/>
      <c r="L36" s="206"/>
      <c r="M36" s="206"/>
      <c r="N36" s="206"/>
      <c r="O36" s="206"/>
      <c r="P36" s="207"/>
      <c r="X36" s="18"/>
      <c r="Y36" s="18"/>
      <c r="Z36" s="18"/>
    </row>
    <row r="37" spans="1:26" x14ac:dyDescent="0.2">
      <c r="A37" s="180"/>
      <c r="B37" s="196" t="s">
        <v>207</v>
      </c>
      <c r="C37" s="180"/>
      <c r="D37" s="198"/>
      <c r="E37" s="199"/>
      <c r="F37" s="199"/>
      <c r="G37" s="199"/>
      <c r="H37" s="199"/>
      <c r="I37" s="199"/>
      <c r="J37" s="199"/>
      <c r="K37" s="208">
        <f>ROUND($D$37*E37*E39/3,0)</f>
        <v>0</v>
      </c>
      <c r="L37" s="208">
        <f>IF($A$1&gt;1,ROUND($U$13*$D$37*F37*F39/3,0),0)</f>
        <v>0</v>
      </c>
      <c r="M37" s="208">
        <f>IF($A$1&gt;2,ROUND($U$13*$U$13*$D$37*G37*G39/3,0),0)</f>
        <v>0</v>
      </c>
      <c r="N37" s="208">
        <f>IF($A$1&gt;3,ROUND($U$13*$U$13*$U$13*$D$37*H37*H39/3,0),0)</f>
        <v>0</v>
      </c>
      <c r="O37" s="208">
        <f>IF($A$1&gt;4,ROUND($U$13*$U$13*$U$13*$U$13*$D$37*I37*I39/3,0),0)</f>
        <v>0</v>
      </c>
      <c r="P37" s="201">
        <f>SUM(K37:O37)</f>
        <v>0</v>
      </c>
      <c r="T37" s="18"/>
      <c r="X37" s="18"/>
      <c r="Y37" s="18"/>
      <c r="Z37" s="18"/>
    </row>
    <row r="38" spans="1:26" x14ac:dyDescent="0.2">
      <c r="A38" s="180"/>
      <c r="B38" s="196" t="s">
        <v>208</v>
      </c>
      <c r="C38" s="180"/>
      <c r="D38" s="209" t="s">
        <v>55</v>
      </c>
      <c r="E38" s="199"/>
      <c r="F38" s="199"/>
      <c r="G38" s="199"/>
      <c r="H38" s="199"/>
      <c r="I38" s="199"/>
      <c r="J38" s="199"/>
      <c r="K38" s="208">
        <f>ROUND($D$37*E40*E38/3,0)</f>
        <v>0</v>
      </c>
      <c r="L38" s="208">
        <f>IF($A$1&gt;1,ROUND($U$13*$D$37*F40*F38/3,0),0)</f>
        <v>0</v>
      </c>
      <c r="M38" s="208">
        <f>IF($A$1&gt;2,ROUND($U$13*$U$13*$D$37*G40*G38/3,0),0)</f>
        <v>0</v>
      </c>
      <c r="N38" s="208">
        <f>IF($A$1&gt;3,ROUND($U$13*$U$13*$U$13*$D$37*H40*H38/3,0),0)</f>
        <v>0</v>
      </c>
      <c r="O38" s="208">
        <f>IF($A$1&gt;4,ROUND($U$13*$U$13*$U$13*$U$13*$D$37*I40*I38/3,0),0)</f>
        <v>0</v>
      </c>
      <c r="P38" s="201">
        <f>SUM(K38:O38)</f>
        <v>0</v>
      </c>
      <c r="X38" s="18"/>
      <c r="Y38" s="18"/>
      <c r="Z38" s="18"/>
    </row>
    <row r="39" spans="1:26" ht="13.5" x14ac:dyDescent="0.25">
      <c r="A39" s="180"/>
      <c r="B39" s="210"/>
      <c r="C39" s="324"/>
      <c r="D39" s="211" t="s">
        <v>82</v>
      </c>
      <c r="E39" s="212"/>
      <c r="F39" s="212"/>
      <c r="G39" s="212"/>
      <c r="H39" s="212"/>
      <c r="I39" s="212"/>
      <c r="J39" s="194"/>
      <c r="K39" s="206"/>
      <c r="L39" s="206"/>
      <c r="M39" s="206"/>
      <c r="N39" s="206"/>
      <c r="O39" s="206"/>
      <c r="P39" s="207"/>
      <c r="V39" s="18"/>
      <c r="X39" s="18"/>
      <c r="Y39" s="18"/>
      <c r="Z39" s="18"/>
    </row>
    <row r="40" spans="1:26" x14ac:dyDescent="0.2">
      <c r="A40" s="180"/>
      <c r="B40" s="213"/>
      <c r="C40" s="324"/>
      <c r="D40" s="211" t="s">
        <v>83</v>
      </c>
      <c r="E40" s="212"/>
      <c r="F40" s="212"/>
      <c r="G40" s="212"/>
      <c r="H40" s="212"/>
      <c r="I40" s="212"/>
      <c r="J40" s="194"/>
      <c r="K40" s="206"/>
      <c r="L40" s="206"/>
      <c r="M40" s="206"/>
      <c r="N40" s="206"/>
      <c r="O40" s="206"/>
      <c r="P40" s="207"/>
      <c r="V40" s="18"/>
      <c r="X40" s="18"/>
      <c r="Y40" s="18"/>
      <c r="Z40" s="18"/>
    </row>
    <row r="41" spans="1:26" x14ac:dyDescent="0.2">
      <c r="A41" s="180"/>
      <c r="B41" s="179"/>
      <c r="C41" s="179"/>
      <c r="D41" s="221"/>
      <c r="E41" s="221"/>
      <c r="F41" s="221"/>
      <c r="G41" s="221"/>
      <c r="H41" s="221"/>
      <c r="I41" s="329"/>
      <c r="J41" s="329"/>
      <c r="K41" s="328"/>
      <c r="L41" s="328"/>
      <c r="M41" s="328"/>
      <c r="N41" s="328"/>
      <c r="O41" s="328"/>
      <c r="P41" s="247"/>
      <c r="V41" s="18"/>
      <c r="X41" s="18"/>
      <c r="Y41" s="18"/>
      <c r="Z41" s="18"/>
    </row>
    <row r="42" spans="1:26" ht="14.25" x14ac:dyDescent="0.2">
      <c r="A42" s="180"/>
      <c r="B42" s="192" t="s">
        <v>209</v>
      </c>
      <c r="C42" s="193"/>
      <c r="D42" s="193" t="s">
        <v>47</v>
      </c>
      <c r="E42" s="180" t="s">
        <v>41</v>
      </c>
      <c r="F42" s="180" t="s">
        <v>42</v>
      </c>
      <c r="G42" s="180" t="s">
        <v>43</v>
      </c>
      <c r="H42" s="180" t="s">
        <v>44</v>
      </c>
      <c r="I42" s="180" t="s">
        <v>45</v>
      </c>
      <c r="J42" s="180"/>
      <c r="K42" s="206"/>
      <c r="L42" s="206"/>
      <c r="M42" s="206"/>
      <c r="N42" s="206"/>
      <c r="O42" s="206"/>
      <c r="P42" s="207"/>
      <c r="S42" s="378"/>
      <c r="T42" s="378"/>
      <c r="U42" s="378"/>
      <c r="V42" s="378"/>
      <c r="W42" s="378"/>
      <c r="X42" s="18"/>
      <c r="Y42" s="18"/>
      <c r="Z42" s="18"/>
    </row>
    <row r="43" spans="1:26" x14ac:dyDescent="0.2">
      <c r="A43" s="180"/>
      <c r="B43" s="203" t="s">
        <v>206</v>
      </c>
      <c r="C43" s="193"/>
      <c r="D43" s="194" t="s">
        <v>59</v>
      </c>
      <c r="E43" s="195" t="s">
        <v>49</v>
      </c>
      <c r="F43" s="195" t="s">
        <v>49</v>
      </c>
      <c r="G43" s="195" t="s">
        <v>49</v>
      </c>
      <c r="H43" s="195" t="s">
        <v>49</v>
      </c>
      <c r="I43" s="195" t="s">
        <v>49</v>
      </c>
      <c r="J43" s="195"/>
      <c r="K43" s="208"/>
      <c r="L43" s="200"/>
      <c r="M43" s="200"/>
      <c r="N43" s="200"/>
      <c r="O43" s="200"/>
      <c r="P43" s="201"/>
      <c r="Q43" s="1" t="s">
        <v>30</v>
      </c>
      <c r="S43" s="378"/>
      <c r="T43" s="378"/>
      <c r="U43" s="378"/>
      <c r="V43" s="378"/>
      <c r="W43" s="378"/>
      <c r="X43" s="18"/>
      <c r="Y43" s="18"/>
      <c r="Z43" s="18"/>
    </row>
    <row r="44" spans="1:26" x14ac:dyDescent="0.2">
      <c r="A44" s="180"/>
      <c r="B44" s="196" t="s">
        <v>207</v>
      </c>
      <c r="C44" s="180"/>
      <c r="D44" s="198"/>
      <c r="E44" s="199"/>
      <c r="F44" s="199"/>
      <c r="G44" s="199"/>
      <c r="H44" s="199"/>
      <c r="I44" s="199"/>
      <c r="J44" s="199"/>
      <c r="K44" s="208">
        <f>ROUND($D$44*E44*E46/3,0)</f>
        <v>0</v>
      </c>
      <c r="L44" s="208">
        <f>IF($A$1&gt;1,ROUND($U$13*$D$44*F44*F46/3,0),0)</f>
        <v>0</v>
      </c>
      <c r="M44" s="208">
        <f>IF($A$1&gt;2,ROUND($U$13*$U$13*$D$44*G44*G46/3,0),0)</f>
        <v>0</v>
      </c>
      <c r="N44" s="208">
        <f>IF($A$1&gt;3,ROUND($U$13*$U$13*$U$13*$D$44*H44*H46/3,0),0)</f>
        <v>0</v>
      </c>
      <c r="O44" s="208">
        <f>IF($A$1&gt;4,ROUND($U$13*$U$13*$U$13*$U$13*$D$44*I44*I46/3,0),0)</f>
        <v>0</v>
      </c>
      <c r="P44" s="201">
        <f>SUM(K44:O44)</f>
        <v>0</v>
      </c>
      <c r="S44" s="378"/>
      <c r="T44" s="378"/>
      <c r="U44" s="378"/>
      <c r="V44" s="378"/>
      <c r="W44" s="378"/>
    </row>
    <row r="45" spans="1:26" x14ac:dyDescent="0.2">
      <c r="A45" s="180"/>
      <c r="B45" s="196" t="s">
        <v>208</v>
      </c>
      <c r="C45" s="180"/>
      <c r="D45" s="209" t="s">
        <v>55</v>
      </c>
      <c r="E45" s="199"/>
      <c r="F45" s="199"/>
      <c r="G45" s="199"/>
      <c r="H45" s="199"/>
      <c r="I45" s="199"/>
      <c r="J45" s="199"/>
      <c r="K45" s="208">
        <f>ROUND($D$44*E47*E45/3,0)</f>
        <v>0</v>
      </c>
      <c r="L45" s="208">
        <f>IF($A$1&gt;1,ROUND($U$13*$D$44*F47*F45/3,0),0)</f>
        <v>0</v>
      </c>
      <c r="M45" s="208">
        <f>IF($A$1&gt;2,ROUND($U$13*$U$13*$D$44*G47*G45/3,0),0)</f>
        <v>0</v>
      </c>
      <c r="N45" s="208">
        <f>IF($A$1&gt;3,ROUND($U$13*$U$13*$U$13*$D$44*H47*H45/3,0),0)</f>
        <v>0</v>
      </c>
      <c r="O45" s="208">
        <f>IF($A$1&gt;4,ROUND($U$13*$U$13*$U$13*$U$13*$D$44*I47*I45/3,0),0)</f>
        <v>0</v>
      </c>
      <c r="P45" s="201">
        <f>SUM(K45:O45)</f>
        <v>0</v>
      </c>
      <c r="S45" s="378"/>
      <c r="T45" s="378"/>
      <c r="U45" s="378"/>
      <c r="V45" s="378"/>
      <c r="W45" s="378"/>
    </row>
    <row r="46" spans="1:26" ht="13.5" x14ac:dyDescent="0.25">
      <c r="A46" s="180"/>
      <c r="B46" s="210"/>
      <c r="C46" s="324"/>
      <c r="D46" s="211" t="s">
        <v>82</v>
      </c>
      <c r="E46" s="212"/>
      <c r="F46" s="212"/>
      <c r="G46" s="212"/>
      <c r="H46" s="212"/>
      <c r="I46" s="212"/>
      <c r="J46" s="194"/>
      <c r="K46" s="208"/>
      <c r="L46" s="200"/>
      <c r="M46" s="200"/>
      <c r="N46" s="200"/>
      <c r="O46" s="200"/>
      <c r="P46" s="201"/>
      <c r="S46" s="378"/>
      <c r="T46" s="378"/>
      <c r="U46" s="378"/>
      <c r="V46" s="378"/>
      <c r="W46" s="378"/>
    </row>
    <row r="47" spans="1:26" x14ac:dyDescent="0.2">
      <c r="A47" s="180"/>
      <c r="B47" s="213"/>
      <c r="C47" s="324"/>
      <c r="D47" s="211" t="s">
        <v>83</v>
      </c>
      <c r="E47" s="212"/>
      <c r="F47" s="212"/>
      <c r="G47" s="212"/>
      <c r="H47" s="212"/>
      <c r="I47" s="212"/>
      <c r="J47" s="194"/>
      <c r="K47" s="208"/>
      <c r="L47" s="200"/>
      <c r="M47" s="200"/>
      <c r="N47" s="200"/>
      <c r="O47" s="200"/>
      <c r="P47" s="201"/>
      <c r="S47" s="378"/>
      <c r="T47" s="378"/>
      <c r="U47" s="378"/>
      <c r="V47" s="378"/>
      <c r="W47" s="378"/>
    </row>
    <row r="48" spans="1:26" ht="13.5" x14ac:dyDescent="0.25">
      <c r="A48" s="180"/>
      <c r="B48" s="214"/>
      <c r="C48" s="214"/>
      <c r="D48" s="215"/>
      <c r="E48" s="215"/>
      <c r="F48" s="215"/>
      <c r="G48" s="215"/>
      <c r="H48" s="215"/>
      <c r="I48" s="215" t="s">
        <v>50</v>
      </c>
      <c r="J48" s="215"/>
      <c r="K48" s="216">
        <f>SUM(K12:K47)</f>
        <v>0</v>
      </c>
      <c r="L48" s="216">
        <f>IF($A$1&gt;1,SUM(L12:L47),0)</f>
        <v>0</v>
      </c>
      <c r="M48" s="216">
        <f>IF($A$1&gt;2,SUM(M12:M47),0)</f>
        <v>0</v>
      </c>
      <c r="N48" s="216">
        <f>IF($A$1&gt;3,SUM(N12:N47),0)</f>
        <v>0</v>
      </c>
      <c r="O48" s="216">
        <f>IF($A$1&gt;4,SUM(O12:O47),0)</f>
        <v>0</v>
      </c>
      <c r="P48" s="217">
        <f>SUM(K48:O48)</f>
        <v>0</v>
      </c>
      <c r="Q48" s="18"/>
      <c r="S48" s="378"/>
      <c r="T48" s="378"/>
      <c r="U48" s="378"/>
      <c r="V48" s="378"/>
      <c r="W48" s="378"/>
    </row>
    <row r="49" spans="1:23" ht="14.25" x14ac:dyDescent="0.2">
      <c r="A49" s="180"/>
      <c r="B49" s="192" t="s">
        <v>37</v>
      </c>
      <c r="C49" s="192"/>
      <c r="D49" s="198"/>
      <c r="E49" s="198"/>
      <c r="F49" s="198"/>
      <c r="G49" s="198"/>
      <c r="H49" s="198"/>
      <c r="I49" s="196"/>
      <c r="J49" s="196"/>
      <c r="K49" s="208"/>
      <c r="L49" s="208"/>
      <c r="M49" s="208"/>
      <c r="N49" s="208"/>
      <c r="O49" s="208"/>
      <c r="P49" s="201"/>
      <c r="S49" s="378"/>
      <c r="T49" s="378"/>
      <c r="U49" s="378"/>
      <c r="V49" s="378"/>
      <c r="W49" s="378"/>
    </row>
    <row r="50" spans="1:23" ht="14.25" x14ac:dyDescent="0.2">
      <c r="A50" s="180"/>
      <c r="B50" s="192" t="s">
        <v>28</v>
      </c>
      <c r="C50" s="192"/>
      <c r="D50" s="198"/>
      <c r="E50" s="198"/>
      <c r="F50" s="198"/>
      <c r="G50" s="198"/>
      <c r="H50" s="198"/>
      <c r="I50" s="218"/>
      <c r="J50" s="218"/>
      <c r="K50" s="208"/>
      <c r="L50" s="208"/>
      <c r="M50" s="208"/>
      <c r="N50" s="208"/>
      <c r="O50" s="208"/>
      <c r="P50" s="201"/>
      <c r="S50" s="378"/>
      <c r="T50" s="378"/>
      <c r="U50" s="378"/>
      <c r="V50" s="378"/>
      <c r="W50" s="378"/>
    </row>
    <row r="51" spans="1:23" x14ac:dyDescent="0.2">
      <c r="A51" s="180"/>
      <c r="B51" s="184" t="s">
        <v>33</v>
      </c>
      <c r="C51" s="150" t="s">
        <v>201</v>
      </c>
      <c r="D51" s="198"/>
      <c r="E51" s="198"/>
      <c r="F51" s="198"/>
      <c r="G51" s="198"/>
      <c r="H51" s="198"/>
      <c r="I51" s="218"/>
      <c r="J51" s="218"/>
      <c r="K51" s="208"/>
      <c r="L51" s="208"/>
      <c r="M51" s="208"/>
      <c r="N51" s="208"/>
      <c r="O51" s="208"/>
      <c r="P51" s="201"/>
      <c r="S51" s="378"/>
      <c r="T51" s="378"/>
      <c r="U51" s="378"/>
      <c r="V51" s="378"/>
      <c r="W51" s="378"/>
    </row>
    <row r="52" spans="1:23" x14ac:dyDescent="0.2">
      <c r="A52" s="180"/>
      <c r="B52" s="219" t="str">
        <f t="shared" ref="B52:B62" si="19">IF(B12="","",B12)</f>
        <v/>
      </c>
      <c r="C52" s="245" t="str">
        <f>IF(C12="Select Employee Class","",C12)</f>
        <v/>
      </c>
      <c r="D52" s="220"/>
      <c r="E52" s="220"/>
      <c r="F52" s="220"/>
      <c r="G52" s="220"/>
      <c r="H52" s="220"/>
      <c r="I52" s="218"/>
      <c r="J52" s="303" t="str">
        <f>IF(B52="","",VLOOKUP(VLOOKUP(C52,$AJ$6:$AK$13,2,FALSE),'Eclass OPE Rates'!$A$26:$F$33,2,FALSE))</f>
        <v/>
      </c>
      <c r="K52" s="208">
        <f>IF($C52="",0,ROUND(K12*VLOOKUP(VLOOKUP($C52,'NIH Modular Budget Template'!$AJ$6:$AK$13,2,FALSE),'Eclass OPE Rates'!$A$26:$F$33,2,FALSE),0))</f>
        <v>0</v>
      </c>
      <c r="L52" s="208">
        <f>IF($C52="",0,ROUND(L12*VLOOKUP(VLOOKUP($C52,'NIH Modular Budget Template'!$AJ$6:$AK$13,2,FALSE),'Eclass OPE Rates'!$A$26:$F$33,3,FALSE),0))</f>
        <v>0</v>
      </c>
      <c r="M52" s="208">
        <f>IF($C52="",0,ROUND(M12*VLOOKUP(VLOOKUP($C52,'NIH Modular Budget Template'!$AJ$6:$AK$13,2,FALSE),'Eclass OPE Rates'!$A$26:$F$33,4,FALSE),0))</f>
        <v>0</v>
      </c>
      <c r="N52" s="208">
        <f>IF($C52="",0,ROUND(N12*VLOOKUP(VLOOKUP($C52,'NIH Modular Budget Template'!$AJ$6:$AK$13,2,FALSE),'Eclass OPE Rates'!$A$26:$F$33,5,FALSE),0))</f>
        <v>0</v>
      </c>
      <c r="O52" s="208">
        <f>IF($C52="",0,ROUND(O12*VLOOKUP(VLOOKUP($C52,'NIH Modular Budget Template'!$AJ$6:$AK$13,2,FALSE),'Eclass OPE Rates'!$A$26:$F$33,6,FALSE),0))</f>
        <v>0</v>
      </c>
      <c r="P52" s="201">
        <f>SUM(K52:O52)</f>
        <v>0</v>
      </c>
      <c r="Q52" s="90"/>
      <c r="S52" s="378"/>
      <c r="T52" s="378"/>
      <c r="U52" s="378"/>
      <c r="V52" s="378"/>
      <c r="W52" s="378"/>
    </row>
    <row r="53" spans="1:23" x14ac:dyDescent="0.2">
      <c r="A53" s="180"/>
      <c r="B53" s="219" t="str">
        <f t="shared" si="19"/>
        <v/>
      </c>
      <c r="C53" s="245" t="str">
        <f t="shared" ref="C53:C62" si="20">IF(C13="Select Employee Class","",C13)</f>
        <v/>
      </c>
      <c r="D53" s="220"/>
      <c r="E53" s="220"/>
      <c r="F53" s="220"/>
      <c r="G53" s="220"/>
      <c r="H53" s="220"/>
      <c r="I53" s="218"/>
      <c r="J53" s="303" t="str">
        <f>IF(B53="","",VLOOKUP(VLOOKUP(C53,$AJ$6:$AK$13,2,FALSE),'Eclass OPE Rates'!$A$26:$F$33,2,FALSE))</f>
        <v/>
      </c>
      <c r="K53" s="208">
        <f>IF($C53="",0,ROUND(K13*VLOOKUP(VLOOKUP($C53,'NIH Modular Budget Template'!$AJ$6:$AK$13,2,FALSE),'Eclass OPE Rates'!$A$26:$F$33,2,FALSE),0))</f>
        <v>0</v>
      </c>
      <c r="L53" s="208">
        <f>IF($C53="",0,ROUND(L13*VLOOKUP(VLOOKUP($C53,'NIH Modular Budget Template'!$AJ$6:$AK$13,2,FALSE),'Eclass OPE Rates'!$A$26:$F$33,3,FALSE),0))</f>
        <v>0</v>
      </c>
      <c r="M53" s="208">
        <f>IF($C53="",0,ROUND(M13*VLOOKUP(VLOOKUP($C53,'NIH Modular Budget Template'!$AJ$6:$AK$13,2,FALSE),'Eclass OPE Rates'!$A$26:$F$33,4,FALSE),0))</f>
        <v>0</v>
      </c>
      <c r="N53" s="208">
        <f>IF($C53="",0,ROUND(N13*VLOOKUP(VLOOKUP($C53,'NIH Modular Budget Template'!$AJ$6:$AK$13,2,FALSE),'Eclass OPE Rates'!$A$26:$F$33,5,FALSE),0))</f>
        <v>0</v>
      </c>
      <c r="O53" s="208">
        <f>IF($C53="",0,ROUND(O13*VLOOKUP(VLOOKUP($C53,'NIH Modular Budget Template'!$AJ$6:$AK$13,2,FALSE),'Eclass OPE Rates'!$A$26:$F$33,6,FALSE),0))</f>
        <v>0</v>
      </c>
      <c r="P53" s="201">
        <f t="shared" ref="P53:P62" si="21">SUM(K53:O53)</f>
        <v>0</v>
      </c>
      <c r="Q53" s="90"/>
      <c r="R53" s="4"/>
      <c r="S53" s="378"/>
      <c r="T53" s="378"/>
      <c r="U53" s="378"/>
      <c r="V53" s="378"/>
      <c r="W53" s="378"/>
    </row>
    <row r="54" spans="1:23" x14ac:dyDescent="0.2">
      <c r="A54" s="180"/>
      <c r="B54" s="219" t="str">
        <f t="shared" si="19"/>
        <v/>
      </c>
      <c r="C54" s="245" t="str">
        <f t="shared" si="20"/>
        <v/>
      </c>
      <c r="D54" s="220"/>
      <c r="E54" s="220"/>
      <c r="F54" s="220"/>
      <c r="G54" s="220"/>
      <c r="H54" s="220"/>
      <c r="I54" s="218"/>
      <c r="J54" s="303" t="str">
        <f>IF(B54="","",VLOOKUP(VLOOKUP(C54,$AJ$6:$AK$13,2,FALSE),'Eclass OPE Rates'!$A$26:$F$33,2,FALSE))</f>
        <v/>
      </c>
      <c r="K54" s="208">
        <f>IF($C54="",0,ROUND(K14*VLOOKUP(VLOOKUP($C54,'NIH Modular Budget Template'!$AJ$6:$AK$13,2,FALSE),'Eclass OPE Rates'!$A$26:$F$33,2,FALSE),0))</f>
        <v>0</v>
      </c>
      <c r="L54" s="208">
        <f>IF($C54="",0,ROUND(L14*VLOOKUP(VLOOKUP($C54,'NIH Modular Budget Template'!$AJ$6:$AK$13,2,FALSE),'Eclass OPE Rates'!$A$26:$F$33,3,FALSE),0))</f>
        <v>0</v>
      </c>
      <c r="M54" s="208">
        <f>IF($C54="",0,ROUND(M14*VLOOKUP(VLOOKUP($C54,'NIH Modular Budget Template'!$AJ$6:$AK$13,2,FALSE),'Eclass OPE Rates'!$A$26:$F$33,4,FALSE),0))</f>
        <v>0</v>
      </c>
      <c r="N54" s="208">
        <f>IF($C54="",0,ROUND(N14*VLOOKUP(VLOOKUP($C54,'NIH Modular Budget Template'!$AJ$6:$AK$13,2,FALSE),'Eclass OPE Rates'!$A$26:$F$33,5,FALSE),0))</f>
        <v>0</v>
      </c>
      <c r="O54" s="208">
        <f>IF($C54="",0,ROUND(O14*VLOOKUP(VLOOKUP($C54,'NIH Modular Budget Template'!$AJ$6:$AK$13,2,FALSE),'Eclass OPE Rates'!$A$26:$F$33,6,FALSE),0))</f>
        <v>0</v>
      </c>
      <c r="P54" s="201">
        <f t="shared" si="21"/>
        <v>0</v>
      </c>
      <c r="R54" s="4"/>
      <c r="S54" s="378"/>
      <c r="T54" s="378"/>
      <c r="U54" s="378"/>
      <c r="V54" s="378"/>
      <c r="W54" s="378"/>
    </row>
    <row r="55" spans="1:23" x14ac:dyDescent="0.2">
      <c r="A55" s="180"/>
      <c r="B55" s="219" t="str">
        <f t="shared" si="19"/>
        <v/>
      </c>
      <c r="C55" s="245" t="str">
        <f t="shared" si="20"/>
        <v/>
      </c>
      <c r="D55" s="220"/>
      <c r="E55" s="220"/>
      <c r="F55" s="220"/>
      <c r="G55" s="220"/>
      <c r="H55" s="220"/>
      <c r="I55" s="218"/>
      <c r="J55" s="303" t="str">
        <f>IF(B55="","",VLOOKUP(VLOOKUP(C55,$AJ$6:$AK$13,2,FALSE),'Eclass OPE Rates'!$A$26:$F$33,2,FALSE))</f>
        <v/>
      </c>
      <c r="K55" s="208">
        <f>IF($C55="",0,ROUND(K15*VLOOKUP(VLOOKUP($C55,'NIH Modular Budget Template'!$AJ$6:$AK$13,2,FALSE),'Eclass OPE Rates'!$A$26:$F$33,2,FALSE),0))</f>
        <v>0</v>
      </c>
      <c r="L55" s="208">
        <f>IF($C55="",0,ROUND(L15*VLOOKUP(VLOOKUP($C55,'NIH Modular Budget Template'!$AJ$6:$AK$13,2,FALSE),'Eclass OPE Rates'!$A$26:$F$33,3,FALSE),0))</f>
        <v>0</v>
      </c>
      <c r="M55" s="208">
        <f>IF($C55="",0,ROUND(M15*VLOOKUP(VLOOKUP($C55,'NIH Modular Budget Template'!$AJ$6:$AK$13,2,FALSE),'Eclass OPE Rates'!$A$26:$F$33,4,FALSE),0))</f>
        <v>0</v>
      </c>
      <c r="N55" s="208">
        <f>IF($C55="",0,ROUND(N15*VLOOKUP(VLOOKUP($C55,'NIH Modular Budget Template'!$AJ$6:$AK$13,2,FALSE),'Eclass OPE Rates'!$A$26:$F$33,5,FALSE),0))</f>
        <v>0</v>
      </c>
      <c r="O55" s="208">
        <f>IF($C55="",0,ROUND(O15*VLOOKUP(VLOOKUP($C55,'NIH Modular Budget Template'!$AJ$6:$AK$13,2,FALSE),'Eclass OPE Rates'!$A$26:$F$33,6,FALSE),0))</f>
        <v>0</v>
      </c>
      <c r="P55" s="201">
        <f t="shared" si="21"/>
        <v>0</v>
      </c>
      <c r="S55" s="378"/>
      <c r="T55" s="378"/>
      <c r="U55" s="378"/>
      <c r="V55" s="378"/>
      <c r="W55" s="378"/>
    </row>
    <row r="56" spans="1:23" x14ac:dyDescent="0.2">
      <c r="A56" s="180"/>
      <c r="B56" s="219" t="str">
        <f t="shared" si="19"/>
        <v/>
      </c>
      <c r="C56" s="245" t="str">
        <f t="shared" si="20"/>
        <v/>
      </c>
      <c r="D56" s="220"/>
      <c r="E56" s="220"/>
      <c r="F56" s="220"/>
      <c r="G56" s="220"/>
      <c r="H56" s="220"/>
      <c r="I56" s="218"/>
      <c r="J56" s="303" t="str">
        <f>IF(B56="","",VLOOKUP(VLOOKUP(C56,$AJ$6:$AK$13,2,FALSE),'Eclass OPE Rates'!$A$26:$F$33,2,FALSE))</f>
        <v/>
      </c>
      <c r="K56" s="208">
        <f>IF($C56="",0,ROUND(K16*VLOOKUP(VLOOKUP($C56,'NIH Modular Budget Template'!$AJ$6:$AK$13,2,FALSE),'Eclass OPE Rates'!$A$26:$F$33,2,FALSE),0))</f>
        <v>0</v>
      </c>
      <c r="L56" s="208">
        <f>IF($C56="",0,ROUND(L16*VLOOKUP(VLOOKUP($C56,'NIH Modular Budget Template'!$AJ$6:$AK$13,2,FALSE),'Eclass OPE Rates'!$A$26:$F$33,3,FALSE),0))</f>
        <v>0</v>
      </c>
      <c r="M56" s="208">
        <f>IF($C56="",0,ROUND(M16*VLOOKUP(VLOOKUP($C56,'NIH Modular Budget Template'!$AJ$6:$AK$13,2,FALSE),'Eclass OPE Rates'!$A$26:$F$33,4,FALSE),0))</f>
        <v>0</v>
      </c>
      <c r="N56" s="208">
        <f>IF($C56="",0,ROUND(N16*VLOOKUP(VLOOKUP($C56,'NIH Modular Budget Template'!$AJ$6:$AK$13,2,FALSE),'Eclass OPE Rates'!$A$26:$F$33,5,FALSE),0))</f>
        <v>0</v>
      </c>
      <c r="O56" s="208">
        <f>IF($C56="",0,ROUND(O16*VLOOKUP(VLOOKUP($C56,'NIH Modular Budget Template'!$AJ$6:$AK$13,2,FALSE),'Eclass OPE Rates'!$A$26:$F$33,6,FALSE),0))</f>
        <v>0</v>
      </c>
      <c r="P56" s="201">
        <f t="shared" si="21"/>
        <v>0</v>
      </c>
      <c r="S56" s="378" t="s">
        <v>30</v>
      </c>
      <c r="T56" s="378"/>
      <c r="U56" s="378"/>
      <c r="V56" s="378"/>
      <c r="W56" s="378"/>
    </row>
    <row r="57" spans="1:23" x14ac:dyDescent="0.2">
      <c r="A57" s="180"/>
      <c r="B57" s="219" t="str">
        <f t="shared" si="19"/>
        <v/>
      </c>
      <c r="C57" s="245" t="str">
        <f t="shared" si="20"/>
        <v/>
      </c>
      <c r="D57" s="220"/>
      <c r="E57" s="220"/>
      <c r="F57" s="220"/>
      <c r="G57" s="220"/>
      <c r="H57" s="220"/>
      <c r="I57" s="218"/>
      <c r="J57" s="303" t="str">
        <f>IF(B57="","",VLOOKUP(VLOOKUP(C57,$AJ$6:$AK$13,2,FALSE),'Eclass OPE Rates'!$A$26:$F$33,2,FALSE))</f>
        <v/>
      </c>
      <c r="K57" s="208">
        <f>IF($C57="",0,ROUND(K17*VLOOKUP(VLOOKUP($C57,'NIH Modular Budget Template'!$AJ$6:$AK$13,2,FALSE),'Eclass OPE Rates'!$A$26:$F$33,2,FALSE),0))</f>
        <v>0</v>
      </c>
      <c r="L57" s="208">
        <f>IF($C57="",0,ROUND(L17*VLOOKUP(VLOOKUP($C57,'NIH Modular Budget Template'!$AJ$6:$AK$13,2,FALSE),'Eclass OPE Rates'!$A$26:$F$33,3,FALSE),0))</f>
        <v>0</v>
      </c>
      <c r="M57" s="208">
        <f>IF($C57="",0,ROUND(M17*VLOOKUP(VLOOKUP($C57,'NIH Modular Budget Template'!$AJ$6:$AK$13,2,FALSE),'Eclass OPE Rates'!$A$26:$F$33,4,FALSE),0))</f>
        <v>0</v>
      </c>
      <c r="N57" s="208">
        <f>IF($C57="",0,ROUND(N17*VLOOKUP(VLOOKUP($C57,'NIH Modular Budget Template'!$AJ$6:$AK$13,2,FALSE),'Eclass OPE Rates'!$A$26:$F$33,5,FALSE),0))</f>
        <v>0</v>
      </c>
      <c r="O57" s="208">
        <f>IF($C57="",0,ROUND(O17*VLOOKUP(VLOOKUP($C57,'NIH Modular Budget Template'!$AJ$6:$AK$13,2,FALSE),'Eclass OPE Rates'!$A$26:$F$33,6,FALSE),0))</f>
        <v>0</v>
      </c>
      <c r="P57" s="201">
        <f t="shared" si="21"/>
        <v>0</v>
      </c>
      <c r="S57" s="378"/>
      <c r="T57" s="378"/>
      <c r="U57" s="378"/>
      <c r="V57" s="378"/>
      <c r="W57" s="378"/>
    </row>
    <row r="58" spans="1:23" x14ac:dyDescent="0.2">
      <c r="A58" s="180"/>
      <c r="B58" s="219" t="str">
        <f t="shared" si="19"/>
        <v/>
      </c>
      <c r="C58" s="245" t="str">
        <f t="shared" si="20"/>
        <v/>
      </c>
      <c r="D58" s="220"/>
      <c r="E58" s="220"/>
      <c r="F58" s="220"/>
      <c r="G58" s="220"/>
      <c r="H58" s="220"/>
      <c r="I58" s="218"/>
      <c r="J58" s="303" t="str">
        <f>IF(B58="","",VLOOKUP(VLOOKUP(C58,$AJ$6:$AK$13,2,FALSE),'Eclass OPE Rates'!$A$26:$F$33,2,FALSE))</f>
        <v/>
      </c>
      <c r="K58" s="208">
        <f>IF($C58="",0,ROUND(K18*VLOOKUP(VLOOKUP($C58,'NIH Modular Budget Template'!$AJ$6:$AK$13,2,FALSE),'Eclass OPE Rates'!$A$26:$F$33,2,FALSE),0))</f>
        <v>0</v>
      </c>
      <c r="L58" s="208">
        <f>IF($C58="",0,ROUND(L18*VLOOKUP(VLOOKUP($C58,'NIH Modular Budget Template'!$AJ$6:$AK$13,2,FALSE),'Eclass OPE Rates'!$A$26:$F$33,3,FALSE),0))</f>
        <v>0</v>
      </c>
      <c r="M58" s="208">
        <f>IF($C58="",0,ROUND(M18*VLOOKUP(VLOOKUP($C58,'NIH Modular Budget Template'!$AJ$6:$AK$13,2,FALSE),'Eclass OPE Rates'!$A$26:$F$33,4,FALSE),0))</f>
        <v>0</v>
      </c>
      <c r="N58" s="208">
        <f>IF($C58="",0,ROUND(N18*VLOOKUP(VLOOKUP($C58,'NIH Modular Budget Template'!$AJ$6:$AK$13,2,FALSE),'Eclass OPE Rates'!$A$26:$F$33,5,FALSE),0))</f>
        <v>0</v>
      </c>
      <c r="O58" s="208">
        <f>IF($C58="",0,ROUND(O18*VLOOKUP(VLOOKUP($C58,'NIH Modular Budget Template'!$AJ$6:$AK$13,2,FALSE),'Eclass OPE Rates'!$A$26:$F$33,6,FALSE),0))</f>
        <v>0</v>
      </c>
      <c r="P58" s="201">
        <f t="shared" si="21"/>
        <v>0</v>
      </c>
      <c r="S58" s="1" t="s">
        <v>30</v>
      </c>
    </row>
    <row r="59" spans="1:23" x14ac:dyDescent="0.2">
      <c r="A59" s="180"/>
      <c r="B59" s="219" t="str">
        <f t="shared" si="19"/>
        <v/>
      </c>
      <c r="C59" s="245" t="str">
        <f t="shared" si="20"/>
        <v/>
      </c>
      <c r="D59" s="220"/>
      <c r="E59" s="220"/>
      <c r="F59" s="220"/>
      <c r="G59" s="220"/>
      <c r="H59" s="220"/>
      <c r="I59" s="218"/>
      <c r="J59" s="303" t="str">
        <f>IF(B59="","",VLOOKUP(VLOOKUP(C59,$AJ$6:$AK$13,2,FALSE),'Eclass OPE Rates'!$A$26:$F$33,2,FALSE))</f>
        <v/>
      </c>
      <c r="K59" s="208">
        <f>IF($C59="",0,ROUND(K19*VLOOKUP(VLOOKUP($C59,'NIH Modular Budget Template'!$AJ$6:$AK$13,2,FALSE),'Eclass OPE Rates'!$A$26:$F$33,2,FALSE),0))</f>
        <v>0</v>
      </c>
      <c r="L59" s="208">
        <f>IF($C59="",0,ROUND(L19*VLOOKUP(VLOOKUP($C59,'NIH Modular Budget Template'!$AJ$6:$AK$13,2,FALSE),'Eclass OPE Rates'!$A$26:$F$33,3,FALSE),0))</f>
        <v>0</v>
      </c>
      <c r="M59" s="208">
        <f>IF($C59="",0,ROUND(M19*VLOOKUP(VLOOKUP($C59,'NIH Modular Budget Template'!$AJ$6:$AK$13,2,FALSE),'Eclass OPE Rates'!$A$26:$F$33,4,FALSE),0))</f>
        <v>0</v>
      </c>
      <c r="N59" s="208">
        <f>IF($C59="",0,ROUND(N19*VLOOKUP(VLOOKUP($C59,'NIH Modular Budget Template'!$AJ$6:$AK$13,2,FALSE),'Eclass OPE Rates'!$A$26:$F$33,5,FALSE),0))</f>
        <v>0</v>
      </c>
      <c r="O59" s="208">
        <f>IF($C59="",0,ROUND(O19*VLOOKUP(VLOOKUP($C59,'NIH Modular Budget Template'!$AJ$6:$AK$13,2,FALSE),'Eclass OPE Rates'!$A$26:$F$33,6,FALSE),0))</f>
        <v>0</v>
      </c>
      <c r="P59" s="201">
        <f t="shared" si="21"/>
        <v>0</v>
      </c>
    </row>
    <row r="60" spans="1:23" x14ac:dyDescent="0.2">
      <c r="A60" s="180"/>
      <c r="B60" s="219" t="str">
        <f t="shared" si="19"/>
        <v/>
      </c>
      <c r="C60" s="245" t="str">
        <f t="shared" si="20"/>
        <v/>
      </c>
      <c r="D60" s="220"/>
      <c r="E60" s="220"/>
      <c r="F60" s="220"/>
      <c r="G60" s="220"/>
      <c r="H60" s="220"/>
      <c r="I60" s="218"/>
      <c r="J60" s="303" t="str">
        <f>IF(B60="","",VLOOKUP(VLOOKUP(C60,$AJ$6:$AK$13,2,FALSE),'Eclass OPE Rates'!$A$26:$F$33,2,FALSE))</f>
        <v/>
      </c>
      <c r="K60" s="208">
        <f>IF($C60="",0,ROUND(K20*VLOOKUP(VLOOKUP($C60,'NIH Modular Budget Template'!$AJ$6:$AK$13,2,FALSE),'Eclass OPE Rates'!$A$26:$F$33,2,FALSE),0))</f>
        <v>0</v>
      </c>
      <c r="L60" s="208">
        <f>IF($C60="",0,ROUND(L20*VLOOKUP(VLOOKUP($C60,'NIH Modular Budget Template'!$AJ$6:$AK$13,2,FALSE),'Eclass OPE Rates'!$A$26:$F$33,3,FALSE),0))</f>
        <v>0</v>
      </c>
      <c r="M60" s="208">
        <f>IF($C60="",0,ROUND(M20*VLOOKUP(VLOOKUP($C60,'NIH Modular Budget Template'!$AJ$6:$AK$13,2,FALSE),'Eclass OPE Rates'!$A$26:$F$33,4,FALSE),0))</f>
        <v>0</v>
      </c>
      <c r="N60" s="208">
        <f>IF($C60="",0,ROUND(N20*VLOOKUP(VLOOKUP($C60,'NIH Modular Budget Template'!$AJ$6:$AK$13,2,FALSE),'Eclass OPE Rates'!$A$26:$F$33,5,FALSE),0))</f>
        <v>0</v>
      </c>
      <c r="O60" s="208">
        <f>IF($C60="",0,ROUND(O20*VLOOKUP(VLOOKUP($C60,'NIH Modular Budget Template'!$AJ$6:$AK$13,2,FALSE),'Eclass OPE Rates'!$A$26:$F$33,6,FALSE),0))</f>
        <v>0</v>
      </c>
      <c r="P60" s="201">
        <f t="shared" si="21"/>
        <v>0</v>
      </c>
    </row>
    <row r="61" spans="1:23" x14ac:dyDescent="0.2">
      <c r="A61" s="180"/>
      <c r="B61" s="219" t="str">
        <f t="shared" si="19"/>
        <v/>
      </c>
      <c r="C61" s="245" t="str">
        <f t="shared" si="20"/>
        <v/>
      </c>
      <c r="D61" s="220"/>
      <c r="E61" s="220"/>
      <c r="F61" s="220"/>
      <c r="G61" s="220"/>
      <c r="H61" s="220"/>
      <c r="I61" s="218"/>
      <c r="J61" s="303" t="str">
        <f>IF(B61="","",VLOOKUP(VLOOKUP(C61,$AJ$6:$AK$13,2,FALSE),'Eclass OPE Rates'!$A$26:$F$33,2,FALSE))</f>
        <v/>
      </c>
      <c r="K61" s="208">
        <f>IF($C61="",0,ROUND(K21*VLOOKUP(VLOOKUP($C61,'NIH Modular Budget Template'!$AJ$6:$AK$13,2,FALSE),'Eclass OPE Rates'!$A$26:$F$33,2,FALSE),0))</f>
        <v>0</v>
      </c>
      <c r="L61" s="208">
        <f>IF($C61="",0,ROUND(L21*VLOOKUP(VLOOKUP($C61,'NIH Modular Budget Template'!$AJ$6:$AK$13,2,FALSE),'Eclass OPE Rates'!$A$26:$F$33,3,FALSE),0))</f>
        <v>0</v>
      </c>
      <c r="M61" s="208">
        <f>IF($C61="",0,ROUND(M21*VLOOKUP(VLOOKUP($C61,'NIH Modular Budget Template'!$AJ$6:$AK$13,2,FALSE),'Eclass OPE Rates'!$A$26:$F$33,4,FALSE),0))</f>
        <v>0</v>
      </c>
      <c r="N61" s="208">
        <f>IF($C61="",0,ROUND(N21*VLOOKUP(VLOOKUP($C61,'NIH Modular Budget Template'!$AJ$6:$AK$13,2,FALSE),'Eclass OPE Rates'!$A$26:$F$33,5,FALSE),0))</f>
        <v>0</v>
      </c>
      <c r="O61" s="208">
        <f>IF($C61="",0,ROUND(O21*VLOOKUP(VLOOKUP($C61,'NIH Modular Budget Template'!$AJ$6:$AK$13,2,FALSE),'Eclass OPE Rates'!$A$26:$F$33,6,FALSE),0))</f>
        <v>0</v>
      </c>
      <c r="P61" s="201">
        <f t="shared" si="21"/>
        <v>0</v>
      </c>
    </row>
    <row r="62" spans="1:23" x14ac:dyDescent="0.2">
      <c r="A62" s="180"/>
      <c r="B62" s="219" t="str">
        <f t="shared" si="19"/>
        <v/>
      </c>
      <c r="C62" s="245" t="str">
        <f t="shared" si="20"/>
        <v/>
      </c>
      <c r="D62" s="220"/>
      <c r="E62" s="220"/>
      <c r="F62" s="220"/>
      <c r="G62" s="220"/>
      <c r="H62" s="220"/>
      <c r="I62" s="218"/>
      <c r="J62" s="303" t="str">
        <f>IF(B62="","",VLOOKUP(VLOOKUP(C62,$AJ$6:$AK$13,2,FALSE),'Eclass OPE Rates'!$A$26:$F$33,2,FALSE))</f>
        <v/>
      </c>
      <c r="K62" s="208">
        <f>IF($C62="",0,ROUND(K22*VLOOKUP(VLOOKUP($C62,'NIH Modular Budget Template'!$AJ$6:$AK$13,2,FALSE),'Eclass OPE Rates'!$A$26:$F$33,2,FALSE),0))</f>
        <v>0</v>
      </c>
      <c r="L62" s="208">
        <f>IF($C62="",0,ROUND(L22*VLOOKUP(VLOOKUP($C62,'NIH Modular Budget Template'!$AJ$6:$AK$13,2,FALSE),'Eclass OPE Rates'!$A$26:$F$33,3,FALSE),0))</f>
        <v>0</v>
      </c>
      <c r="M62" s="208">
        <f>IF($C62="",0,ROUND(M22*VLOOKUP(VLOOKUP($C62,'NIH Modular Budget Template'!$AJ$6:$AK$13,2,FALSE),'Eclass OPE Rates'!$A$26:$F$33,4,FALSE),0))</f>
        <v>0</v>
      </c>
      <c r="N62" s="208">
        <f>IF($C62="",0,ROUND(N22*VLOOKUP(VLOOKUP($C62,'NIH Modular Budget Template'!$AJ$6:$AK$13,2,FALSE),'Eclass OPE Rates'!$A$26:$F$33,5,FALSE),0))</f>
        <v>0</v>
      </c>
      <c r="O62" s="208">
        <f>IF($C62="",0,ROUND(O22*VLOOKUP(VLOOKUP($C62,'NIH Modular Budget Template'!$AJ$6:$AK$13,2,FALSE),'Eclass OPE Rates'!$A$26:$F$33,6,FALSE),0))</f>
        <v>0</v>
      </c>
      <c r="P62" s="201">
        <f t="shared" si="21"/>
        <v>0</v>
      </c>
    </row>
    <row r="63" spans="1:23" ht="14.25" x14ac:dyDescent="0.2">
      <c r="A63" s="180"/>
      <c r="B63" s="192" t="s">
        <v>37</v>
      </c>
      <c r="C63" s="192"/>
      <c r="D63" s="198"/>
      <c r="E63" s="198"/>
      <c r="F63" s="198"/>
      <c r="G63" s="198"/>
      <c r="H63" s="198"/>
      <c r="I63" s="218"/>
      <c r="J63" s="218"/>
      <c r="K63" s="208"/>
      <c r="L63" s="208"/>
      <c r="M63" s="208"/>
      <c r="N63" s="208"/>
      <c r="O63" s="208"/>
      <c r="P63" s="201"/>
    </row>
    <row r="64" spans="1:23" ht="14.25" x14ac:dyDescent="0.2">
      <c r="A64" s="180"/>
      <c r="B64" s="192" t="s">
        <v>28</v>
      </c>
      <c r="C64" s="192"/>
      <c r="D64" s="198"/>
      <c r="E64" s="198"/>
      <c r="F64" s="198"/>
      <c r="G64" s="198"/>
      <c r="H64" s="198"/>
      <c r="I64" s="218"/>
      <c r="J64" s="218"/>
      <c r="K64" s="208"/>
      <c r="L64" s="208"/>
      <c r="M64" s="208"/>
      <c r="N64" s="208"/>
      <c r="O64" s="208"/>
      <c r="P64" s="201"/>
    </row>
    <row r="65" spans="1:20" x14ac:dyDescent="0.2">
      <c r="A65" s="180"/>
      <c r="B65" s="203" t="s">
        <v>34</v>
      </c>
      <c r="C65" s="150" t="s">
        <v>201</v>
      </c>
      <c r="D65" s="198"/>
      <c r="E65" s="198"/>
      <c r="F65" s="198"/>
      <c r="G65" s="198"/>
      <c r="H65" s="198"/>
      <c r="I65" s="218"/>
      <c r="J65" s="218"/>
      <c r="K65" s="208"/>
      <c r="L65" s="208"/>
      <c r="M65" s="208"/>
      <c r="N65" s="208"/>
      <c r="O65" s="208"/>
      <c r="P65" s="201"/>
    </row>
    <row r="66" spans="1:20" x14ac:dyDescent="0.2">
      <c r="A66" s="180"/>
      <c r="B66" s="196" t="str">
        <f t="shared" ref="B66:B71" si="22">IF(B25="","",B25)</f>
        <v/>
      </c>
      <c r="C66" s="297" t="str">
        <f t="shared" ref="C66:C71" si="23">C25</f>
        <v/>
      </c>
      <c r="D66" s="198"/>
      <c r="E66" s="198"/>
      <c r="F66" s="198"/>
      <c r="G66" s="198"/>
      <c r="H66" s="198"/>
      <c r="I66" s="218"/>
      <c r="J66" s="303" t="str">
        <f>IF(B66="","",VLOOKUP(VLOOKUP(C66,$AJ$6:$AK$14,2,FALSE),'Eclass OPE Rates'!$A$26:$F$33,2,FALSE))</f>
        <v/>
      </c>
      <c r="K66" s="208">
        <f>IF($C66="",0,ROUND(K25*VLOOKUP(VLOOKUP($C66,'NIH Modular Budget Template'!$AJ$6:$AK$14,2,FALSE),'Eclass OPE Rates'!$A$26:$F$33,2,FALSE),0))</f>
        <v>0</v>
      </c>
      <c r="L66" s="208">
        <f>IF($C66="",0,ROUND(L25*VLOOKUP(VLOOKUP($C66,'NIH Modular Budget Template'!$AJ$6:$AK$14,2,FALSE),'Eclass OPE Rates'!$A$26:$F$33,3,FALSE),0))</f>
        <v>0</v>
      </c>
      <c r="M66" s="208">
        <f>IF($C66="",0,ROUND(M25*VLOOKUP(VLOOKUP($C66,'NIH Modular Budget Template'!$AJ$6:$AK$14,2,FALSE),'Eclass OPE Rates'!$A$26:$F$33,4,FALSE),0))</f>
        <v>0</v>
      </c>
      <c r="N66" s="208">
        <f>IF($C66="",0,ROUND(N25*VLOOKUP(VLOOKUP($C66,'NIH Modular Budget Template'!$AJ$6:$AK$14,2,FALSE),'Eclass OPE Rates'!$A$26:$F$33,5,FALSE),0))</f>
        <v>0</v>
      </c>
      <c r="O66" s="208">
        <f>IF($C66="",0,ROUND(O25*VLOOKUP(VLOOKUP($C66,'NIH Modular Budget Template'!$AJ$6:$AK$14,2,FALSE),'Eclass OPE Rates'!$A$26:$F$33,6,FALSE),0))</f>
        <v>0</v>
      </c>
      <c r="P66" s="201">
        <f t="shared" ref="P66:P71" si="24">SUM(K66:O66)</f>
        <v>0</v>
      </c>
    </row>
    <row r="67" spans="1:20" x14ac:dyDescent="0.2">
      <c r="A67" s="180"/>
      <c r="B67" s="196" t="str">
        <f t="shared" si="22"/>
        <v/>
      </c>
      <c r="C67" s="297" t="str">
        <f t="shared" si="23"/>
        <v/>
      </c>
      <c r="D67" s="198"/>
      <c r="E67" s="198"/>
      <c r="F67" s="198"/>
      <c r="G67" s="198"/>
      <c r="H67" s="198"/>
      <c r="I67" s="218"/>
      <c r="J67" s="303" t="str">
        <f>IF(B67="","",VLOOKUP(VLOOKUP(C67,$AJ$6:$AK$14,2,FALSE),'Eclass OPE Rates'!$A$26:$F$33,2,FALSE))</f>
        <v/>
      </c>
      <c r="K67" s="208">
        <f>IF($C67="",0,ROUND(K26*VLOOKUP(VLOOKUP($C67,'NIH Modular Budget Template'!$AJ$6:$AK$14,2,FALSE),'Eclass OPE Rates'!$A$26:$F$33,2,FALSE),0))</f>
        <v>0</v>
      </c>
      <c r="L67" s="208">
        <f>IF($C67="",0,ROUND(L26*VLOOKUP(VLOOKUP($C67,'NIH Modular Budget Template'!$AJ$6:$AK$14,2,FALSE),'Eclass OPE Rates'!$A$26:$F$33,3,FALSE),0))</f>
        <v>0</v>
      </c>
      <c r="M67" s="208">
        <f>IF($C67="",0,ROUND(M26*VLOOKUP(VLOOKUP($C67,'NIH Modular Budget Template'!$AJ$6:$AK$14,2,FALSE),'Eclass OPE Rates'!$A$26:$F$33,4,FALSE),0))</f>
        <v>0</v>
      </c>
      <c r="N67" s="208">
        <f>IF($C67="",0,ROUND(N26*VLOOKUP(VLOOKUP($C67,'NIH Modular Budget Template'!$AJ$6:$AK$14,2,FALSE),'Eclass OPE Rates'!$A$26:$F$33,5,FALSE),0))</f>
        <v>0</v>
      </c>
      <c r="O67" s="208">
        <f>IF($C67="",0,ROUND(O26*VLOOKUP(VLOOKUP($C67,'NIH Modular Budget Template'!$AJ$6:$AK$14,2,FALSE),'Eclass OPE Rates'!$A$26:$F$33,6,FALSE),0))</f>
        <v>0</v>
      </c>
      <c r="P67" s="201">
        <f t="shared" si="24"/>
        <v>0</v>
      </c>
    </row>
    <row r="68" spans="1:20" x14ac:dyDescent="0.2">
      <c r="A68" s="180"/>
      <c r="B68" s="196" t="str">
        <f t="shared" si="22"/>
        <v/>
      </c>
      <c r="C68" s="297" t="str">
        <f t="shared" si="23"/>
        <v/>
      </c>
      <c r="D68" s="198"/>
      <c r="E68" s="198"/>
      <c r="F68" s="198"/>
      <c r="G68" s="198"/>
      <c r="H68" s="198"/>
      <c r="I68" s="218"/>
      <c r="J68" s="303" t="str">
        <f>IF(B68="","",VLOOKUP(VLOOKUP(C68,$AJ$6:$AK$14,2,FALSE),'Eclass OPE Rates'!$A$26:$F$33,2,FALSE))</f>
        <v/>
      </c>
      <c r="K68" s="208">
        <f>IF($C68="",0,ROUND(K27*VLOOKUP(VLOOKUP($C68,'NIH Modular Budget Template'!$AJ$6:$AK$14,2,FALSE),'Eclass OPE Rates'!$A$26:$F$33,2,FALSE),0))</f>
        <v>0</v>
      </c>
      <c r="L68" s="208">
        <f>IF($C68="",0,ROUND(L27*VLOOKUP(VLOOKUP($C68,'NIH Modular Budget Template'!$AJ$6:$AK$14,2,FALSE),'Eclass OPE Rates'!$A$26:$F$33,3,FALSE),0))</f>
        <v>0</v>
      </c>
      <c r="M68" s="208">
        <f>IF($C68="",0,ROUND(M27*VLOOKUP(VLOOKUP($C68,'NIH Modular Budget Template'!$AJ$6:$AK$14,2,FALSE),'Eclass OPE Rates'!$A$26:$F$33,4,FALSE),0))</f>
        <v>0</v>
      </c>
      <c r="N68" s="208">
        <f>IF($C68="",0,ROUND(N27*VLOOKUP(VLOOKUP($C68,'NIH Modular Budget Template'!$AJ$6:$AK$14,2,FALSE),'Eclass OPE Rates'!$A$26:$F$33,5,FALSE),0))</f>
        <v>0</v>
      </c>
      <c r="O68" s="208">
        <f>IF($C68="",0,ROUND(O27*VLOOKUP(VLOOKUP($C68,'NIH Modular Budget Template'!$AJ$6:$AK$14,2,FALSE),'Eclass OPE Rates'!$A$26:$F$33,6,FALSE),0))</f>
        <v>0</v>
      </c>
      <c r="P68" s="201">
        <f t="shared" si="24"/>
        <v>0</v>
      </c>
    </row>
    <row r="69" spans="1:20" x14ac:dyDescent="0.2">
      <c r="A69" s="180"/>
      <c r="B69" s="196" t="str">
        <f t="shared" si="22"/>
        <v/>
      </c>
      <c r="C69" s="297" t="str">
        <f t="shared" si="23"/>
        <v/>
      </c>
      <c r="D69" s="198"/>
      <c r="E69" s="198"/>
      <c r="F69" s="198"/>
      <c r="G69" s="198"/>
      <c r="H69" s="198"/>
      <c r="I69" s="218"/>
      <c r="J69" s="303" t="str">
        <f>IF(B69="","",VLOOKUP(VLOOKUP(C69,$AJ$6:$AK$14,2,FALSE),'Eclass OPE Rates'!$A$26:$F$33,2,FALSE))</f>
        <v/>
      </c>
      <c r="K69" s="208">
        <f>IF($C69="",0,ROUND(K28*VLOOKUP(VLOOKUP($C69,'NIH Modular Budget Template'!$AJ$6:$AK$14,2,FALSE),'Eclass OPE Rates'!$A$26:$F$33,2,FALSE),0))</f>
        <v>0</v>
      </c>
      <c r="L69" s="208">
        <f>IF($C69="",0,ROUND(L28*VLOOKUP(VLOOKUP($C69,'NIH Modular Budget Template'!$AJ$6:$AK$14,2,FALSE),'Eclass OPE Rates'!$A$26:$F$33,3,FALSE),0))</f>
        <v>0</v>
      </c>
      <c r="M69" s="208">
        <f>IF($C69="",0,ROUND(M28*VLOOKUP(VLOOKUP($C69,'NIH Modular Budget Template'!$AJ$6:$AK$14,2,FALSE),'Eclass OPE Rates'!$A$26:$F$33,4,FALSE),0))</f>
        <v>0</v>
      </c>
      <c r="N69" s="208">
        <f>IF($C69="",0,ROUND(N28*VLOOKUP(VLOOKUP($C69,'NIH Modular Budget Template'!$AJ$6:$AK$14,2,FALSE),'Eclass OPE Rates'!$A$26:$F$33,5,FALSE),0))</f>
        <v>0</v>
      </c>
      <c r="O69" s="208">
        <f>IF($C69="",0,ROUND(O28*VLOOKUP(VLOOKUP($C69,'NIH Modular Budget Template'!$AJ$6:$AK$14,2,FALSE),'Eclass OPE Rates'!$A$26:$F$33,6,FALSE),0))</f>
        <v>0</v>
      </c>
      <c r="P69" s="201">
        <f t="shared" si="24"/>
        <v>0</v>
      </c>
    </row>
    <row r="70" spans="1:20" x14ac:dyDescent="0.2">
      <c r="A70" s="180"/>
      <c r="B70" s="196" t="str">
        <f t="shared" si="22"/>
        <v/>
      </c>
      <c r="C70" s="297" t="str">
        <f t="shared" si="23"/>
        <v/>
      </c>
      <c r="D70" s="198"/>
      <c r="E70" s="198"/>
      <c r="F70" s="198"/>
      <c r="G70" s="198"/>
      <c r="H70" s="198"/>
      <c r="I70" s="218"/>
      <c r="J70" s="303" t="str">
        <f>IF(B70="","",VLOOKUP(VLOOKUP(C70,$AJ$6:$AK$14,2,FALSE),'Eclass OPE Rates'!$A$26:$F$33,2,FALSE))</f>
        <v/>
      </c>
      <c r="K70" s="208">
        <f>IF($C70="",0,ROUND(K29*VLOOKUP(VLOOKUP($C70,'NIH Modular Budget Template'!$AJ$6:$AK$14,2,FALSE),'Eclass OPE Rates'!$A$26:$F$33,2,FALSE),0))</f>
        <v>0</v>
      </c>
      <c r="L70" s="208">
        <f>IF($C70="",0,ROUND(L29*VLOOKUP(VLOOKUP($C70,'NIH Modular Budget Template'!$AJ$6:$AK$14,2,FALSE),'Eclass OPE Rates'!$A$26:$F$33,3,FALSE),0))</f>
        <v>0</v>
      </c>
      <c r="M70" s="208">
        <f>IF($C70="",0,ROUND(M29*VLOOKUP(VLOOKUP($C70,'NIH Modular Budget Template'!$AJ$6:$AK$14,2,FALSE),'Eclass OPE Rates'!$A$26:$F$33,4,FALSE),0))</f>
        <v>0</v>
      </c>
      <c r="N70" s="208">
        <f>IF($C70="",0,ROUND(N29*VLOOKUP(VLOOKUP($C70,'NIH Modular Budget Template'!$AJ$6:$AK$14,2,FALSE),'Eclass OPE Rates'!$A$26:$F$33,5,FALSE),0))</f>
        <v>0</v>
      </c>
      <c r="O70" s="208">
        <f>IF($C70="",0,ROUND(O29*VLOOKUP(VLOOKUP($C70,'NIH Modular Budget Template'!$AJ$6:$AK$14,2,FALSE),'Eclass OPE Rates'!$A$26:$F$33,6,FALSE),0))</f>
        <v>0</v>
      </c>
      <c r="P70" s="201">
        <f t="shared" si="24"/>
        <v>0</v>
      </c>
      <c r="R70" s="4"/>
      <c r="S70" s="4"/>
    </row>
    <row r="71" spans="1:20" x14ac:dyDescent="0.2">
      <c r="A71" s="180"/>
      <c r="B71" s="196" t="str">
        <f t="shared" si="22"/>
        <v/>
      </c>
      <c r="C71" s="297" t="str">
        <f t="shared" si="23"/>
        <v/>
      </c>
      <c r="D71" s="198"/>
      <c r="E71" s="198"/>
      <c r="F71" s="198"/>
      <c r="G71" s="198"/>
      <c r="H71" s="198"/>
      <c r="I71" s="218"/>
      <c r="J71" s="303" t="str">
        <f>IF(B71="","",VLOOKUP(VLOOKUP(C71,$AJ$6:$AK$14,2,FALSE),'Eclass OPE Rates'!$A$26:$F$33,2,FALSE))</f>
        <v/>
      </c>
      <c r="K71" s="208">
        <f>IF($C71="",0,ROUND(K30*VLOOKUP(VLOOKUP($C71,'NIH Modular Budget Template'!$AJ$6:$AK$14,2,FALSE),'Eclass OPE Rates'!$A$26:$F$33,2,FALSE),0))</f>
        <v>0</v>
      </c>
      <c r="L71" s="208">
        <f>IF($C71="",0,ROUND(L30*VLOOKUP(VLOOKUP($C71,'NIH Modular Budget Template'!$AJ$6:$AK$14,2,FALSE),'Eclass OPE Rates'!$A$26:$F$33,3,FALSE),0))</f>
        <v>0</v>
      </c>
      <c r="M71" s="208">
        <f>IF($C71="",0,ROUND(M30*VLOOKUP(VLOOKUP($C71,'NIH Modular Budget Template'!$AJ$6:$AK$14,2,FALSE),'Eclass OPE Rates'!$A$26:$F$33,4,FALSE),0))</f>
        <v>0</v>
      </c>
      <c r="N71" s="208">
        <f>IF($C71="",0,ROUND(N30*VLOOKUP(VLOOKUP($C71,'NIH Modular Budget Template'!$AJ$6:$AK$14,2,FALSE),'Eclass OPE Rates'!$A$26:$F$33,5,FALSE),0))</f>
        <v>0</v>
      </c>
      <c r="O71" s="208">
        <f>IF($C71="",0,ROUND(O30*VLOOKUP(VLOOKUP($C71,'NIH Modular Budget Template'!$AJ$6:$AK$14,2,FALSE),'Eclass OPE Rates'!$A$26:$F$33,6,FALSE),0))</f>
        <v>0</v>
      </c>
      <c r="P71" s="201">
        <f t="shared" si="24"/>
        <v>0</v>
      </c>
      <c r="R71" s="4"/>
      <c r="S71" s="4"/>
    </row>
    <row r="72" spans="1:20" x14ac:dyDescent="0.2">
      <c r="A72" s="180"/>
      <c r="B72" s="179"/>
      <c r="C72" s="179"/>
      <c r="D72" s="221"/>
      <c r="E72" s="221"/>
      <c r="F72" s="221"/>
      <c r="G72" s="221"/>
      <c r="H72" s="221"/>
      <c r="I72" s="221"/>
      <c r="J72" s="221"/>
      <c r="K72" s="221"/>
      <c r="L72" s="221"/>
      <c r="M72" s="221"/>
      <c r="N72" s="221"/>
      <c r="O72" s="221"/>
      <c r="P72" s="221"/>
      <c r="R72" s="4"/>
      <c r="S72" s="4"/>
    </row>
    <row r="73" spans="1:20" x14ac:dyDescent="0.2">
      <c r="A73" s="180"/>
      <c r="B73" s="196" t="s">
        <v>48</v>
      </c>
      <c r="C73" s="94" t="s">
        <v>222</v>
      </c>
      <c r="D73" s="223"/>
      <c r="E73" s="223"/>
      <c r="F73" s="223"/>
      <c r="G73" s="223"/>
      <c r="H73" s="223"/>
      <c r="I73" s="218"/>
      <c r="J73" s="303">
        <f>IF(B73="","",VLOOKUP(VLOOKUP(C73,$AJ$6:$AK$13,2,FALSE),'Eclass OPE Rates'!$A$26:$F$33,2,FALSE))</f>
        <v>3.6999999999999998E-2</v>
      </c>
      <c r="K73" s="208">
        <f>IF($C73="",0,ROUND(K32*VLOOKUP(VLOOKUP($C73,'NIH Modular Budget Template'!$AJ$6:$AK$13,2,FALSE),'Eclass OPE Rates'!$A$26:$F$33,2,FALSE),0))</f>
        <v>0</v>
      </c>
      <c r="L73" s="208">
        <f>IF($C73="",0,ROUND(L32*VLOOKUP(VLOOKUP($C73,'NIH Modular Budget Template'!$AJ$6:$AK$13,2,FALSE),'Eclass OPE Rates'!$A$26:$F$33,3,FALSE),0))</f>
        <v>0</v>
      </c>
      <c r="M73" s="208">
        <f>IF($C73="",0,ROUND(M32*VLOOKUP(VLOOKUP($C73,'NIH Modular Budget Template'!$AJ$6:$AK$13,2,FALSE),'Eclass OPE Rates'!$A$26:$F$33,4,FALSE),0))</f>
        <v>0</v>
      </c>
      <c r="N73" s="208">
        <f>IF($C73="",0,ROUND(N32*VLOOKUP(VLOOKUP($C73,'NIH Modular Budget Template'!$AJ$6:$AK$13,2,FALSE),'Eclass OPE Rates'!$A$26:$F$33,5,FALSE),0))</f>
        <v>0</v>
      </c>
      <c r="O73" s="208">
        <f>IF($C73="",0,ROUND(O32*VLOOKUP(VLOOKUP($C73,'NIH Modular Budget Template'!$AJ$6:$AK$13,2,FALSE),'Eclass OPE Rates'!$A$26:$F$33,6,FALSE),0))</f>
        <v>0</v>
      </c>
      <c r="P73" s="201">
        <f>SUM(K73:O73)</f>
        <v>0</v>
      </c>
      <c r="R73" s="4"/>
      <c r="S73" s="4"/>
    </row>
    <row r="74" spans="1:20" x14ac:dyDescent="0.2">
      <c r="A74" s="180"/>
      <c r="B74" s="196" t="s">
        <v>128</v>
      </c>
      <c r="C74" s="94" t="s">
        <v>222</v>
      </c>
      <c r="D74" s="223"/>
      <c r="E74" s="223"/>
      <c r="F74" s="223"/>
      <c r="G74" s="223"/>
      <c r="H74" s="223"/>
      <c r="I74" s="218"/>
      <c r="J74" s="303">
        <f>IF(B74="","",VLOOKUP(VLOOKUP(C74,$AJ$6:$AK$13,2,FALSE),'Eclass OPE Rates'!$A$26:$F$33,2,FALSE))</f>
        <v>3.6999999999999998E-2</v>
      </c>
      <c r="K74" s="208">
        <f>IF($C74="",0,ROUND(K33*VLOOKUP(VLOOKUP($C74,'NIH Modular Budget Template'!$AJ$6:$AK$13,2,FALSE),'Eclass OPE Rates'!$A$26:$F$33,2,FALSE),0))</f>
        <v>0</v>
      </c>
      <c r="L74" s="208">
        <f>IF($C74="",0,ROUND(L33*VLOOKUP(VLOOKUP($C74,'NIH Modular Budget Template'!$AJ$6:$AK$13,2,FALSE),'Eclass OPE Rates'!$A$26:$F$33,3,FALSE),0))</f>
        <v>0</v>
      </c>
      <c r="M74" s="208">
        <f>IF($C74="",0,ROUND(M33*VLOOKUP(VLOOKUP($C74,'NIH Modular Budget Template'!$AJ$6:$AK$13,2,FALSE),'Eclass OPE Rates'!$A$26:$F$33,4,FALSE),0))</f>
        <v>0</v>
      </c>
      <c r="N74" s="208">
        <f>IF($C74="",0,ROUND(N33*VLOOKUP(VLOOKUP($C74,'NIH Modular Budget Template'!$AJ$6:$AK$13,2,FALSE),'Eclass OPE Rates'!$A$26:$F$33,5,FALSE),0))</f>
        <v>0</v>
      </c>
      <c r="O74" s="208">
        <f>IF($C74="",0,ROUND(O33*VLOOKUP(VLOOKUP($C74,'NIH Modular Budget Template'!$AJ$6:$AK$13,2,FALSE),'Eclass OPE Rates'!$A$26:$F$33,6,FALSE),0))</f>
        <v>0</v>
      </c>
      <c r="P74" s="201">
        <f>SUM(K74:O74)</f>
        <v>0</v>
      </c>
      <c r="R74" s="4"/>
      <c r="S74" s="4"/>
    </row>
    <row r="75" spans="1:20" x14ac:dyDescent="0.2">
      <c r="A75" s="180"/>
      <c r="B75" s="179"/>
      <c r="C75" s="179"/>
      <c r="D75" s="221"/>
      <c r="E75" s="221"/>
      <c r="F75" s="221"/>
      <c r="G75" s="221"/>
      <c r="H75" s="221"/>
      <c r="I75" s="221"/>
      <c r="J75" s="221"/>
      <c r="K75" s="222"/>
      <c r="L75" s="222"/>
      <c r="M75" s="222"/>
      <c r="N75" s="222"/>
      <c r="O75" s="222"/>
      <c r="P75" s="204"/>
      <c r="R75" s="4"/>
      <c r="S75" s="4"/>
    </row>
    <row r="76" spans="1:20" x14ac:dyDescent="0.2">
      <c r="A76" s="180"/>
      <c r="B76" s="331" t="s">
        <v>210</v>
      </c>
      <c r="C76" s="94" t="s">
        <v>222</v>
      </c>
      <c r="D76" s="332"/>
      <c r="E76" s="332"/>
      <c r="F76" s="332"/>
      <c r="G76" s="332"/>
      <c r="H76" s="332"/>
      <c r="I76" s="333"/>
      <c r="J76" s="303">
        <f>IF(B76="","",VLOOKUP(VLOOKUP(C76,$AJ$6:$AK$13,2,FALSE),'Eclass OPE Rates'!$A$26:$F$33,2,FALSE))</f>
        <v>3.6999999999999998E-2</v>
      </c>
      <c r="K76" s="334">
        <f>ROUND(VLOOKUP(VLOOKUP($C76,$AJ$6:$AK$13,2,FALSE),'Eclass OPE Rates'!$A$26:$F$33,2,FALSE)*SUM(K37:K45),0)+SUMIF($D$39:$D$47,"Total Academic Terms",E39:E47)*(U6+U8)+SUMIF($D$39:$D$47,"Total Summer Terms",E39:E47)*(U7+U9)</f>
        <v>0</v>
      </c>
      <c r="L76" s="334">
        <f>IF($A$1&gt;1,ROUND(VLOOKUP(VLOOKUP($C76,$AJ$6:$AK$13,2,FALSE),'Eclass OPE Rates'!$A$26:$F$33,3,FALSE)*SUM(L37:L45),0)+SUMIF($D$39:$D$47,"Total Academic Terms",F39:F47)*(V6+V8)+SUMIF($D$39:$D$47,"Total Summer Terms",F39:F47)*(V7+V9),0)</f>
        <v>0</v>
      </c>
      <c r="M76" s="334">
        <f>IF($A$1&gt;2,ROUND(VLOOKUP(VLOOKUP($C76,$AJ$6:$AK$13,2,FALSE),'Eclass OPE Rates'!$A$26:$F$33,4,FALSE)*SUM(M37:M45),0)+SUMIF($D$39:$D$47,"Total Academic Terms",G39:G47)*(W6+W8)+SUMIF($D$39:$D$47,"Total Summer Terms",G39:G47)*(W7+W9),0)</f>
        <v>0</v>
      </c>
      <c r="N76" s="334">
        <f>IF($A$1&gt;3,ROUND(VLOOKUP(VLOOKUP($C76,$AJ$6:$AK$13,2,FALSE),'Eclass OPE Rates'!$A$26:$F$33,5,FALSE)*SUM(N37:N45),0)+SUMIF($D$39:$D$47,"Total Academic Terms",H39:H47)*(X6+X8)+SUMIF($D$39:$D$47,"Total Summer Terms",H39:H47)*(X7+X9),0)</f>
        <v>0</v>
      </c>
      <c r="O76" s="334">
        <f>IF($A$1&gt;4,ROUND(VLOOKUP(VLOOKUP($C76,$AJ$6:$AK$13,2,FALSE),'Eclass OPE Rates'!$A$26:$F$33,6,FALSE)*SUM(O37:O45),0)+SUMIF($D$39:$D$47,"Total Academic Terms",I39:I47)*(Y6+Y8)+SUMIF($D$39:$D$47,"Total Summer Terms",I39:I47)*(Y7+Y9),0)</f>
        <v>0</v>
      </c>
      <c r="P76" s="335">
        <f>SUM(K76:O76)</f>
        <v>0</v>
      </c>
      <c r="R76" s="4"/>
      <c r="S76" s="4"/>
    </row>
    <row r="77" spans="1:20" ht="13.5" x14ac:dyDescent="0.25">
      <c r="A77" s="226"/>
      <c r="B77" s="215"/>
      <c r="C77" s="215"/>
      <c r="D77" s="227"/>
      <c r="E77" s="227"/>
      <c r="F77" s="227"/>
      <c r="G77" s="227"/>
      <c r="H77" s="227"/>
      <c r="I77" s="215" t="s">
        <v>5</v>
      </c>
      <c r="J77" s="215"/>
      <c r="K77" s="216">
        <f>SUM(K52:K76)</f>
        <v>0</v>
      </c>
      <c r="L77" s="216">
        <f>IF($A$1&gt;1,IF($A$1&gt;=2,SUM(L52:L76),0),0)</f>
        <v>0</v>
      </c>
      <c r="M77" s="216">
        <f>IF($A$1&gt;2,IF($A$1&gt;=3,SUM(M52:M76),0),0)</f>
        <v>0</v>
      </c>
      <c r="N77" s="216">
        <f>IF($A$1&gt;3,IF($A$1&gt;=4,SUM(N52:N76),0),0)</f>
        <v>0</v>
      </c>
      <c r="O77" s="216">
        <f>IF($A$1&gt;4,IF($A$1&gt;=5,SUM(O52:O76),0),0)</f>
        <v>0</v>
      </c>
      <c r="P77" s="217">
        <f>SUM(K77:O77)</f>
        <v>0</v>
      </c>
      <c r="Q77" s="18"/>
      <c r="R77" s="4"/>
      <c r="S77" s="4"/>
    </row>
    <row r="78" spans="1:20" x14ac:dyDescent="0.2">
      <c r="A78" s="180"/>
      <c r="B78" s="228"/>
      <c r="C78" s="228"/>
      <c r="D78" s="228"/>
      <c r="E78" s="228"/>
      <c r="F78" s="228"/>
      <c r="G78" s="228"/>
      <c r="H78" s="228"/>
      <c r="I78" s="229"/>
      <c r="J78" s="229"/>
      <c r="K78" s="230"/>
      <c r="L78" s="230"/>
      <c r="M78" s="230"/>
      <c r="N78" s="230"/>
      <c r="O78" s="230"/>
      <c r="P78" s="201"/>
      <c r="Q78" s="18"/>
      <c r="R78" s="4"/>
      <c r="S78" s="4"/>
    </row>
    <row r="79" spans="1:20" x14ac:dyDescent="0.2">
      <c r="A79" s="180"/>
      <c r="B79" s="231" t="s">
        <v>14</v>
      </c>
      <c r="C79" s="231"/>
      <c r="D79" s="231"/>
      <c r="E79" s="231"/>
      <c r="F79" s="231"/>
      <c r="G79" s="231"/>
      <c r="H79" s="231"/>
      <c r="I79" s="232"/>
      <c r="J79" s="232"/>
      <c r="K79" s="233">
        <f>SUM(K48,K77)</f>
        <v>0</v>
      </c>
      <c r="L79" s="233">
        <f>IF($A$1&gt;1,SUM(L48,L77),0)</f>
        <v>0</v>
      </c>
      <c r="M79" s="233">
        <f>IF($A$1&gt;2,SUM(M48,M77),0)</f>
        <v>0</v>
      </c>
      <c r="N79" s="233">
        <f>IF($A$1&gt;3,SUM(N48,N77),0)</f>
        <v>0</v>
      </c>
      <c r="O79" s="233">
        <f>IF($A$1&gt;4,SUM(O48,O77),0)</f>
        <v>0</v>
      </c>
      <c r="P79" s="234">
        <f>SUM(K79:O79)</f>
        <v>0</v>
      </c>
      <c r="Q79" s="18"/>
      <c r="T79" s="4"/>
    </row>
    <row r="80" spans="1:20" x14ac:dyDescent="0.2">
      <c r="A80" s="180"/>
      <c r="B80" s="228"/>
      <c r="C80" s="228"/>
      <c r="D80" s="228"/>
      <c r="E80" s="228"/>
      <c r="F80" s="228"/>
      <c r="G80" s="228"/>
      <c r="H80" s="228"/>
      <c r="I80" s="203"/>
      <c r="J80" s="203"/>
      <c r="K80" s="235"/>
      <c r="L80" s="235"/>
      <c r="M80" s="235"/>
      <c r="N80" s="235"/>
      <c r="O80" s="235"/>
      <c r="P80" s="236"/>
    </row>
    <row r="81" spans="1:255" x14ac:dyDescent="0.2">
      <c r="A81" s="180"/>
      <c r="B81" s="180"/>
      <c r="C81" s="180"/>
      <c r="D81" s="180"/>
      <c r="E81" s="180"/>
      <c r="F81" s="180"/>
      <c r="G81" s="180"/>
      <c r="H81" s="180"/>
      <c r="I81" s="196"/>
      <c r="J81" s="196"/>
      <c r="K81" s="200"/>
      <c r="L81" s="200"/>
      <c r="M81" s="200"/>
      <c r="N81" s="200"/>
      <c r="O81" s="200"/>
      <c r="P81" s="201"/>
    </row>
    <row r="82" spans="1:255" x14ac:dyDescent="0.2">
      <c r="A82" s="180"/>
      <c r="B82" s="237" t="s">
        <v>298</v>
      </c>
      <c r="C82" s="237"/>
      <c r="D82" s="219"/>
      <c r="E82" s="219"/>
      <c r="F82" s="219"/>
      <c r="G82" s="219"/>
      <c r="H82" s="219"/>
      <c r="I82" s="203"/>
      <c r="J82" s="203"/>
      <c r="K82" s="200"/>
      <c r="L82" s="200"/>
      <c r="M82" s="200"/>
      <c r="N82" s="200"/>
      <c r="O82" s="200"/>
      <c r="P82" s="241"/>
    </row>
    <row r="83" spans="1:255" x14ac:dyDescent="0.2">
      <c r="A83" s="180"/>
      <c r="B83" s="219"/>
      <c r="C83" s="219"/>
      <c r="D83" s="228"/>
      <c r="E83" s="228"/>
      <c r="F83" s="228"/>
      <c r="G83" s="228"/>
      <c r="H83" s="228"/>
      <c r="I83" s="203"/>
      <c r="J83" s="203"/>
      <c r="K83" s="200"/>
      <c r="L83" s="200">
        <f>IF($A$1&gt;1,ROUND($K83*$U$15,0),0)</f>
        <v>0</v>
      </c>
      <c r="M83" s="200">
        <f>IF($A$1&gt;2,ROUND($K83*$U$15^2,0),0)</f>
        <v>0</v>
      </c>
      <c r="N83" s="200">
        <f>IF($A$1&gt;3,ROUND($K83*$U$15^3,0),0)</f>
        <v>0</v>
      </c>
      <c r="O83" s="200">
        <f>IF($A$1&gt;4,ROUND($K83*$U$15^4,0),0)</f>
        <v>0</v>
      </c>
      <c r="P83" s="201">
        <f>SUM(K83:O83)</f>
        <v>0</v>
      </c>
    </row>
    <row r="84" spans="1:255" x14ac:dyDescent="0.2">
      <c r="A84" s="180"/>
      <c r="B84" s="219"/>
      <c r="C84" s="219"/>
      <c r="D84" s="228"/>
      <c r="E84" s="228"/>
      <c r="F84" s="228"/>
      <c r="G84" s="228"/>
      <c r="H84" s="228"/>
      <c r="I84" s="203"/>
      <c r="J84" s="203"/>
      <c r="K84" s="224">
        <v>0</v>
      </c>
      <c r="L84" s="200">
        <f>IF($A$1&gt;1,ROUND($K84*$U$15,0),0)</f>
        <v>0</v>
      </c>
      <c r="M84" s="200">
        <f>IF($A$1&gt;2,ROUND($K84*$U$15^2,0),0)</f>
        <v>0</v>
      </c>
      <c r="N84" s="200">
        <f>IF($A$1&gt;3,ROUND($K84*$U$15^3,0),0)</f>
        <v>0</v>
      </c>
      <c r="O84" s="200">
        <f>IF($A$1&gt;4,ROUND($K84*$U$15^4,0),0)</f>
        <v>0</v>
      </c>
      <c r="P84" s="225">
        <f>SUM(K84:O84)</f>
        <v>0</v>
      </c>
    </row>
    <row r="85" spans="1:255" ht="13.5" x14ac:dyDescent="0.25">
      <c r="A85" s="180"/>
      <c r="B85" s="228"/>
      <c r="C85" s="228"/>
      <c r="D85" s="228"/>
      <c r="E85" s="228"/>
      <c r="F85" s="228"/>
      <c r="G85" s="228"/>
      <c r="H85" s="228"/>
      <c r="J85" s="238" t="s">
        <v>19</v>
      </c>
      <c r="K85" s="239">
        <f>SUM(K83:K84)</f>
        <v>0</v>
      </c>
      <c r="L85" s="239">
        <f>IF($A$1&gt;1,SUM(L83:L84),0)</f>
        <v>0</v>
      </c>
      <c r="M85" s="239">
        <f>IF($A$1&gt;2,SUM(M83:M84),0)</f>
        <v>0</v>
      </c>
      <c r="N85" s="239">
        <f>IF($A$1&gt;3,SUM(N83:N84),0)</f>
        <v>0</v>
      </c>
      <c r="O85" s="239">
        <f>IF($A$1&gt;4,SUM(O83:O84),0)</f>
        <v>0</v>
      </c>
      <c r="P85" s="242">
        <f>SUM(K85:O85)</f>
        <v>0</v>
      </c>
      <c r="Q85" s="1" t="s">
        <v>30</v>
      </c>
    </row>
    <row r="86" spans="1:255" x14ac:dyDescent="0.2">
      <c r="A86" s="180"/>
      <c r="B86" s="203" t="s">
        <v>6</v>
      </c>
      <c r="C86" s="203"/>
      <c r="D86" s="196"/>
      <c r="E86" s="196"/>
      <c r="F86" s="196"/>
      <c r="G86" s="196"/>
      <c r="H86" s="196"/>
      <c r="I86" s="196"/>
      <c r="J86" s="196"/>
      <c r="K86" s="200"/>
      <c r="L86" s="200"/>
      <c r="M86" s="200"/>
      <c r="N86" s="200"/>
      <c r="O86" s="200"/>
      <c r="P86" s="241"/>
      <c r="Q86" s="180"/>
      <c r="R86" s="203"/>
      <c r="S86" s="203"/>
      <c r="T86" s="196"/>
      <c r="U86" s="196"/>
      <c r="V86" s="196"/>
      <c r="W86" s="196"/>
      <c r="X86" s="196"/>
      <c r="Y86" s="196"/>
      <c r="Z86" s="196"/>
      <c r="AA86" s="208"/>
      <c r="AB86" s="208"/>
      <c r="AC86" s="208"/>
      <c r="AD86" s="208"/>
      <c r="AE86" s="208"/>
      <c r="AF86" s="386"/>
      <c r="AG86" s="180"/>
      <c r="AH86" s="203"/>
      <c r="AI86" s="203"/>
      <c r="AJ86" s="196"/>
      <c r="AK86" s="196"/>
      <c r="AL86" s="196"/>
      <c r="AM86" s="196"/>
      <c r="AN86" s="196"/>
      <c r="AO86" s="196"/>
      <c r="AP86" s="208"/>
      <c r="AQ86" s="208"/>
      <c r="AR86" s="208"/>
      <c r="AS86" s="208"/>
      <c r="AT86" s="208"/>
      <c r="AU86" s="386"/>
      <c r="AV86" s="180"/>
      <c r="AW86" s="203"/>
      <c r="AX86" s="203"/>
      <c r="AY86" s="196"/>
      <c r="AZ86" s="196"/>
      <c r="BA86" s="196"/>
      <c r="BB86" s="196"/>
      <c r="BC86" s="196"/>
      <c r="BD86" s="196"/>
      <c r="BE86" s="196"/>
      <c r="BF86" s="208"/>
      <c r="BG86" s="208"/>
      <c r="BH86" s="208"/>
      <c r="BI86" s="208"/>
      <c r="BJ86" s="208"/>
      <c r="BK86" s="386"/>
      <c r="BL86" s="180"/>
      <c r="BM86" s="203"/>
      <c r="BN86" s="203"/>
      <c r="BO86" s="196"/>
      <c r="BP86" s="196"/>
      <c r="BQ86" s="196"/>
      <c r="BR86" s="196"/>
      <c r="BS86" s="196"/>
      <c r="BT86" s="196"/>
      <c r="BU86" s="196"/>
      <c r="BV86" s="208"/>
      <c r="BW86" s="208"/>
      <c r="BX86" s="208"/>
      <c r="BY86" s="208"/>
      <c r="BZ86" s="208"/>
      <c r="CA86" s="386"/>
      <c r="CB86" s="180"/>
      <c r="CC86" s="203"/>
      <c r="CD86" s="203"/>
      <c r="CE86" s="196"/>
      <c r="CF86" s="196"/>
      <c r="CG86" s="196"/>
      <c r="CH86" s="196"/>
      <c r="CI86" s="196"/>
      <c r="CJ86" s="196"/>
      <c r="CK86" s="196"/>
      <c r="CL86" s="208"/>
      <c r="CM86" s="208"/>
      <c r="CN86" s="208"/>
      <c r="CO86" s="208"/>
      <c r="CP86" s="208"/>
      <c r="CQ86" s="386"/>
      <c r="CR86" s="180"/>
      <c r="CS86" s="203"/>
      <c r="CT86" s="203"/>
      <c r="CU86" s="196"/>
      <c r="CV86" s="196"/>
      <c r="CW86" s="196"/>
      <c r="CX86" s="196"/>
      <c r="CY86" s="196"/>
      <c r="CZ86" s="196"/>
      <c r="DA86" s="196"/>
      <c r="DB86" s="208"/>
      <c r="DC86" s="208"/>
      <c r="DD86" s="208"/>
      <c r="DE86" s="208"/>
      <c r="DF86" s="208"/>
      <c r="DG86" s="386"/>
      <c r="DH86" s="180"/>
      <c r="DI86" s="203"/>
      <c r="DJ86" s="203"/>
      <c r="DK86" s="196"/>
      <c r="DL86" s="196"/>
      <c r="DM86" s="196"/>
      <c r="DN86" s="196"/>
      <c r="DO86" s="196"/>
      <c r="DP86" s="196"/>
      <c r="DQ86" s="196"/>
      <c r="DR86" s="208"/>
      <c r="DS86" s="208"/>
      <c r="DT86" s="208"/>
      <c r="DU86" s="208"/>
      <c r="DV86" s="208"/>
      <c r="DW86" s="386"/>
      <c r="DX86" s="180"/>
      <c r="DY86" s="203"/>
      <c r="DZ86" s="203"/>
      <c r="EA86" s="196"/>
      <c r="EB86" s="196"/>
      <c r="EC86" s="196"/>
      <c r="ED86" s="196"/>
      <c r="EE86" s="196"/>
      <c r="EF86" s="196"/>
      <c r="EG86" s="196"/>
      <c r="EH86" s="208"/>
      <c r="EI86" s="208"/>
      <c r="EJ86" s="208"/>
      <c r="EK86" s="208"/>
      <c r="EL86" s="208"/>
      <c r="EM86" s="386"/>
      <c r="EN86" s="180"/>
      <c r="EO86" s="203"/>
      <c r="EP86" s="203"/>
      <c r="EQ86" s="196"/>
      <c r="ER86" s="196"/>
      <c r="ES86" s="196"/>
      <c r="ET86" s="196"/>
      <c r="EU86" s="196"/>
      <c r="EV86" s="196"/>
      <c r="EW86" s="196"/>
      <c r="EX86" s="208"/>
      <c r="EY86" s="208"/>
      <c r="EZ86" s="208"/>
      <c r="FA86" s="208"/>
      <c r="FB86" s="208"/>
      <c r="FC86" s="386"/>
      <c r="FD86" s="180"/>
      <c r="FE86" s="203"/>
      <c r="FF86" s="203"/>
      <c r="FG86" s="196"/>
      <c r="FH86" s="196"/>
      <c r="FI86" s="196"/>
      <c r="FJ86" s="196"/>
      <c r="FK86" s="196"/>
      <c r="FL86" s="196"/>
      <c r="FM86" s="196"/>
      <c r="FN86" s="208"/>
      <c r="FO86" s="208"/>
      <c r="FP86" s="208"/>
      <c r="FQ86" s="208"/>
      <c r="FR86" s="208"/>
      <c r="FS86" s="386"/>
      <c r="FT86" s="180"/>
      <c r="FU86" s="203"/>
      <c r="FV86" s="203"/>
      <c r="FW86" s="196"/>
      <c r="FX86" s="196"/>
      <c r="FY86" s="196"/>
      <c r="FZ86" s="196"/>
      <c r="GA86" s="196"/>
      <c r="GB86" s="196"/>
      <c r="GC86" s="196"/>
      <c r="GD86" s="208"/>
      <c r="GE86" s="208"/>
      <c r="GF86" s="208"/>
      <c r="GG86" s="208"/>
      <c r="GH86" s="208"/>
      <c r="GI86" s="386"/>
      <c r="GJ86" s="180"/>
      <c r="GK86" s="203"/>
      <c r="GL86" s="203"/>
      <c r="GM86" s="196"/>
      <c r="GN86" s="196"/>
      <c r="GO86" s="196"/>
      <c r="GP86" s="196"/>
      <c r="GQ86" s="196"/>
      <c r="GR86" s="196"/>
      <c r="GS86" s="196"/>
      <c r="GT86" s="208"/>
      <c r="GU86" s="208"/>
      <c r="GV86" s="208"/>
      <c r="GW86" s="208"/>
      <c r="GX86" s="208"/>
      <c r="GY86" s="386"/>
      <c r="GZ86" s="180"/>
      <c r="HA86" s="203"/>
      <c r="HB86" s="203"/>
      <c r="HC86" s="196"/>
      <c r="HD86" s="196"/>
      <c r="HE86" s="196"/>
      <c r="HF86" s="196"/>
      <c r="HG86" s="196"/>
      <c r="HH86" s="196"/>
      <c r="HI86" s="196"/>
      <c r="HJ86" s="208"/>
      <c r="HK86" s="208"/>
      <c r="HL86" s="208"/>
      <c r="HM86" s="208"/>
      <c r="HN86" s="208"/>
      <c r="HO86" s="386"/>
      <c r="HP86" s="180"/>
      <c r="HQ86" s="203"/>
      <c r="HR86" s="203"/>
      <c r="HS86" s="196"/>
      <c r="HT86" s="196"/>
      <c r="HU86" s="196"/>
      <c r="HV86" s="196"/>
      <c r="HW86" s="196"/>
      <c r="HX86" s="196"/>
      <c r="HY86" s="196"/>
      <c r="HZ86" s="208"/>
      <c r="IA86" s="208"/>
      <c r="IB86" s="208"/>
      <c r="IC86" s="208"/>
      <c r="ID86" s="208"/>
      <c r="IE86" s="386"/>
      <c r="IF86" s="180"/>
      <c r="IG86" s="203"/>
      <c r="IH86" s="203"/>
      <c r="II86" s="196"/>
      <c r="IJ86" s="196"/>
      <c r="IK86" s="196"/>
      <c r="IL86" s="196"/>
      <c r="IM86" s="196"/>
      <c r="IN86" s="196"/>
      <c r="IO86" s="196"/>
      <c r="IP86" s="208"/>
      <c r="IQ86" s="208"/>
      <c r="IR86" s="208"/>
      <c r="IS86" s="208"/>
      <c r="IT86" s="208"/>
      <c r="IU86" s="386"/>
    </row>
    <row r="87" spans="1:255" x14ac:dyDescent="0.2">
      <c r="A87" s="180"/>
      <c r="B87" s="387" t="s">
        <v>17</v>
      </c>
      <c r="C87" s="243"/>
      <c r="D87" s="196"/>
      <c r="E87" s="196"/>
      <c r="F87" s="196"/>
      <c r="G87" s="196"/>
      <c r="H87" s="196"/>
      <c r="I87" s="196"/>
      <c r="J87" s="196"/>
      <c r="K87" s="200"/>
      <c r="L87" s="200">
        <f>IF($A$1&gt;1,ROUND($K87*$U$15,0),0)</f>
        <v>0</v>
      </c>
      <c r="M87" s="200">
        <f>IF($A$1&gt;2,ROUND($K87*$U$15^2,0),0)</f>
        <v>0</v>
      </c>
      <c r="N87" s="200">
        <f>IF($A$1&gt;3,ROUND($K87*$U$15^3,0),0)</f>
        <v>0</v>
      </c>
      <c r="O87" s="200">
        <f>IF($A$1&gt;4,ROUND($K87*$U$15^4,0),0)</f>
        <v>0</v>
      </c>
      <c r="P87" s="201">
        <f>SUM(K87:O87)</f>
        <v>0</v>
      </c>
      <c r="Q87" s="180"/>
      <c r="R87" s="387"/>
      <c r="S87" s="243"/>
      <c r="T87" s="196"/>
      <c r="U87" s="196"/>
      <c r="V87" s="196"/>
      <c r="W87" s="196"/>
      <c r="X87" s="196"/>
      <c r="Y87" s="196"/>
      <c r="Z87" s="196"/>
      <c r="AA87" s="208"/>
      <c r="AB87" s="208"/>
      <c r="AC87" s="208"/>
      <c r="AD87" s="208"/>
      <c r="AE87" s="208"/>
      <c r="AF87" s="208"/>
      <c r="AG87" s="180"/>
      <c r="AH87" s="387"/>
      <c r="AI87" s="243"/>
      <c r="AJ87" s="196"/>
      <c r="AK87" s="196"/>
      <c r="AL87" s="196"/>
      <c r="AM87" s="196"/>
      <c r="AN87" s="196"/>
      <c r="AO87" s="196"/>
      <c r="AP87" s="208"/>
      <c r="AQ87" s="208"/>
      <c r="AR87" s="208"/>
      <c r="AS87" s="208"/>
      <c r="AT87" s="208"/>
      <c r="AU87" s="208"/>
      <c r="AV87" s="180"/>
      <c r="AW87" s="387"/>
      <c r="AX87" s="243"/>
      <c r="AY87" s="196"/>
      <c r="AZ87" s="196"/>
      <c r="BA87" s="196"/>
      <c r="BB87" s="196"/>
      <c r="BC87" s="196"/>
      <c r="BD87" s="196"/>
      <c r="BE87" s="196"/>
      <c r="BF87" s="208"/>
      <c r="BG87" s="208"/>
      <c r="BH87" s="208"/>
      <c r="BI87" s="208"/>
      <c r="BJ87" s="208"/>
      <c r="BK87" s="208"/>
      <c r="BL87" s="180"/>
      <c r="BM87" s="387"/>
      <c r="BN87" s="243"/>
      <c r="BO87" s="196"/>
      <c r="BP87" s="196"/>
      <c r="BQ87" s="196"/>
      <c r="BR87" s="196"/>
      <c r="BS87" s="196"/>
      <c r="BT87" s="196"/>
      <c r="BU87" s="196"/>
      <c r="BV87" s="208"/>
      <c r="BW87" s="208"/>
      <c r="BX87" s="208"/>
      <c r="BY87" s="208"/>
      <c r="BZ87" s="208"/>
      <c r="CA87" s="208"/>
      <c r="CB87" s="180"/>
      <c r="CC87" s="387"/>
      <c r="CD87" s="243"/>
      <c r="CE87" s="196"/>
      <c r="CF87" s="196"/>
      <c r="CG87" s="196"/>
      <c r="CH87" s="196"/>
      <c r="CI87" s="196"/>
      <c r="CJ87" s="196"/>
      <c r="CK87" s="196"/>
      <c r="CL87" s="208"/>
      <c r="CM87" s="208"/>
      <c r="CN87" s="208"/>
      <c r="CO87" s="208"/>
      <c r="CP87" s="208"/>
      <c r="CQ87" s="208"/>
      <c r="CR87" s="180"/>
      <c r="CS87" s="387"/>
      <c r="CT87" s="243"/>
      <c r="CU87" s="196"/>
      <c r="CV87" s="196"/>
      <c r="CW87" s="196"/>
      <c r="CX87" s="196"/>
      <c r="CY87" s="196"/>
      <c r="CZ87" s="196"/>
      <c r="DA87" s="196"/>
      <c r="DB87" s="208"/>
      <c r="DC87" s="208"/>
      <c r="DD87" s="208"/>
      <c r="DE87" s="208"/>
      <c r="DF87" s="208"/>
      <c r="DG87" s="208"/>
      <c r="DH87" s="180"/>
      <c r="DI87" s="387"/>
      <c r="DJ87" s="243"/>
      <c r="DK87" s="196"/>
      <c r="DL87" s="196"/>
      <c r="DM87" s="196"/>
      <c r="DN87" s="196"/>
      <c r="DO87" s="196"/>
      <c r="DP87" s="196"/>
      <c r="DQ87" s="196"/>
      <c r="DR87" s="208"/>
      <c r="DS87" s="208"/>
      <c r="DT87" s="208"/>
      <c r="DU87" s="208"/>
      <c r="DV87" s="208"/>
      <c r="DW87" s="208"/>
      <c r="DX87" s="180"/>
      <c r="DY87" s="387"/>
      <c r="DZ87" s="243"/>
      <c r="EA87" s="196"/>
      <c r="EB87" s="196"/>
      <c r="EC87" s="196"/>
      <c r="ED87" s="196"/>
      <c r="EE87" s="196"/>
      <c r="EF87" s="196"/>
      <c r="EG87" s="196"/>
      <c r="EH87" s="208"/>
      <c r="EI87" s="208"/>
      <c r="EJ87" s="208"/>
      <c r="EK87" s="208"/>
      <c r="EL87" s="208"/>
      <c r="EM87" s="208"/>
      <c r="EN87" s="180"/>
      <c r="EO87" s="387"/>
      <c r="EP87" s="243"/>
      <c r="EQ87" s="196"/>
      <c r="ER87" s="196"/>
      <c r="ES87" s="196"/>
      <c r="ET87" s="196"/>
      <c r="EU87" s="196"/>
      <c r="EV87" s="196"/>
      <c r="EW87" s="196"/>
      <c r="EX87" s="208"/>
      <c r="EY87" s="208"/>
      <c r="EZ87" s="208"/>
      <c r="FA87" s="208"/>
      <c r="FB87" s="208"/>
      <c r="FC87" s="208"/>
      <c r="FD87" s="180"/>
      <c r="FE87" s="387"/>
      <c r="FF87" s="243"/>
      <c r="FG87" s="196"/>
      <c r="FH87" s="196"/>
      <c r="FI87" s="196"/>
      <c r="FJ87" s="196"/>
      <c r="FK87" s="196"/>
      <c r="FL87" s="196"/>
      <c r="FM87" s="196"/>
      <c r="FN87" s="208"/>
      <c r="FO87" s="208"/>
      <c r="FP87" s="208"/>
      <c r="FQ87" s="208"/>
      <c r="FR87" s="208"/>
      <c r="FS87" s="208"/>
      <c r="FT87" s="180"/>
      <c r="FU87" s="387"/>
      <c r="FV87" s="243"/>
      <c r="FW87" s="196"/>
      <c r="FX87" s="196"/>
      <c r="FY87" s="196"/>
      <c r="FZ87" s="196"/>
      <c r="GA87" s="196"/>
      <c r="GB87" s="196"/>
      <c r="GC87" s="196"/>
      <c r="GD87" s="208"/>
      <c r="GE87" s="208"/>
      <c r="GF87" s="208"/>
      <c r="GG87" s="208"/>
      <c r="GH87" s="208"/>
      <c r="GI87" s="208"/>
      <c r="GJ87" s="180"/>
      <c r="GK87" s="387"/>
      <c r="GL87" s="243"/>
      <c r="GM87" s="196"/>
      <c r="GN87" s="196"/>
      <c r="GO87" s="196"/>
      <c r="GP87" s="196"/>
      <c r="GQ87" s="196"/>
      <c r="GR87" s="196"/>
      <c r="GS87" s="196"/>
      <c r="GT87" s="208"/>
      <c r="GU87" s="208"/>
      <c r="GV87" s="208"/>
      <c r="GW87" s="208"/>
      <c r="GX87" s="208"/>
      <c r="GY87" s="208"/>
      <c r="GZ87" s="180"/>
      <c r="HA87" s="387"/>
      <c r="HB87" s="243"/>
      <c r="HC87" s="196"/>
      <c r="HD87" s="196"/>
      <c r="HE87" s="196"/>
      <c r="HF87" s="196"/>
      <c r="HG87" s="196"/>
      <c r="HH87" s="196"/>
      <c r="HI87" s="196"/>
      <c r="HJ87" s="208"/>
      <c r="HK87" s="208"/>
      <c r="HL87" s="208"/>
      <c r="HM87" s="208"/>
      <c r="HN87" s="208"/>
      <c r="HO87" s="208"/>
      <c r="HP87" s="180"/>
      <c r="HQ87" s="387"/>
      <c r="HR87" s="243"/>
      <c r="HS87" s="196"/>
      <c r="HT87" s="196"/>
      <c r="HU87" s="196"/>
      <c r="HV87" s="196"/>
      <c r="HW87" s="196"/>
      <c r="HX87" s="196"/>
      <c r="HY87" s="196"/>
      <c r="HZ87" s="208"/>
      <c r="IA87" s="208"/>
      <c r="IB87" s="208"/>
      <c r="IC87" s="208"/>
      <c r="ID87" s="208"/>
      <c r="IE87" s="208"/>
      <c r="IF87" s="180"/>
      <c r="IG87" s="387"/>
      <c r="IH87" s="243"/>
      <c r="II87" s="196"/>
      <c r="IJ87" s="196"/>
      <c r="IK87" s="196"/>
      <c r="IL87" s="196"/>
      <c r="IM87" s="196"/>
      <c r="IN87" s="196"/>
      <c r="IO87" s="196"/>
      <c r="IP87" s="208"/>
      <c r="IQ87" s="208"/>
      <c r="IR87" s="208"/>
      <c r="IS87" s="208"/>
      <c r="IT87" s="208"/>
      <c r="IU87" s="208"/>
    </row>
    <row r="88" spans="1:255" x14ac:dyDescent="0.2">
      <c r="A88" s="180"/>
      <c r="B88" s="388"/>
      <c r="C88" s="219"/>
      <c r="D88" s="196"/>
      <c r="E88" s="196"/>
      <c r="F88" s="196"/>
      <c r="G88" s="196"/>
      <c r="H88" s="196"/>
      <c r="I88" s="196"/>
      <c r="J88" s="196"/>
      <c r="K88" s="200"/>
      <c r="L88" s="200">
        <f>IF($A$1&gt;1,ROUND($K88*$U$15,0),0)</f>
        <v>0</v>
      </c>
      <c r="M88" s="200">
        <f>IF($A$1&gt;2,ROUND($K88*$U$15^2,0),0)</f>
        <v>0</v>
      </c>
      <c r="N88" s="200">
        <f>IF($A$1&gt;3,ROUND($K88*$U$15^3,0),0)</f>
        <v>0</v>
      </c>
      <c r="O88" s="200">
        <f>IF($A$1&gt;4,ROUND($K88*$U$15^4,0),0)</f>
        <v>0</v>
      </c>
      <c r="P88" s="201">
        <f>SUM(K88:O88)</f>
        <v>0</v>
      </c>
      <c r="Q88" s="180"/>
      <c r="R88" s="388"/>
      <c r="S88" s="219"/>
      <c r="T88" s="196"/>
      <c r="U88" s="196"/>
      <c r="V88" s="196"/>
      <c r="W88" s="196"/>
      <c r="X88" s="196"/>
      <c r="Y88" s="196"/>
      <c r="Z88" s="196"/>
      <c r="AA88" s="208"/>
      <c r="AB88" s="208"/>
      <c r="AC88" s="208"/>
      <c r="AD88" s="208"/>
      <c r="AE88" s="208"/>
      <c r="AF88" s="208"/>
      <c r="AG88" s="180"/>
      <c r="AH88" s="388"/>
      <c r="AI88" s="219"/>
      <c r="AJ88" s="196"/>
      <c r="AK88" s="196"/>
      <c r="AL88" s="196"/>
      <c r="AM88" s="196"/>
      <c r="AN88" s="196"/>
      <c r="AO88" s="196"/>
      <c r="AP88" s="208"/>
      <c r="AQ88" s="208"/>
      <c r="AR88" s="208"/>
      <c r="AS88" s="208"/>
      <c r="AT88" s="208"/>
      <c r="AU88" s="208"/>
      <c r="AV88" s="180"/>
      <c r="AW88" s="388"/>
      <c r="AX88" s="219"/>
      <c r="AY88" s="196"/>
      <c r="AZ88" s="196"/>
      <c r="BA88" s="196"/>
      <c r="BB88" s="196"/>
      <c r="BC88" s="196"/>
      <c r="BD88" s="196"/>
      <c r="BE88" s="196"/>
      <c r="BF88" s="208"/>
      <c r="BG88" s="208"/>
      <c r="BH88" s="208"/>
      <c r="BI88" s="208"/>
      <c r="BJ88" s="208"/>
      <c r="BK88" s="208"/>
      <c r="BL88" s="180"/>
      <c r="BM88" s="388"/>
      <c r="BN88" s="219"/>
      <c r="BO88" s="196"/>
      <c r="BP88" s="196"/>
      <c r="BQ88" s="196"/>
      <c r="BR88" s="196"/>
      <c r="BS88" s="196"/>
      <c r="BT88" s="196"/>
      <c r="BU88" s="196"/>
      <c r="BV88" s="208"/>
      <c r="BW88" s="208"/>
      <c r="BX88" s="208"/>
      <c r="BY88" s="208"/>
      <c r="BZ88" s="208"/>
      <c r="CA88" s="208"/>
      <c r="CB88" s="180"/>
      <c r="CC88" s="388"/>
      <c r="CD88" s="219"/>
      <c r="CE88" s="196"/>
      <c r="CF88" s="196"/>
      <c r="CG88" s="196"/>
      <c r="CH88" s="196"/>
      <c r="CI88" s="196"/>
      <c r="CJ88" s="196"/>
      <c r="CK88" s="196"/>
      <c r="CL88" s="208"/>
      <c r="CM88" s="208"/>
      <c r="CN88" s="208"/>
      <c r="CO88" s="208"/>
      <c r="CP88" s="208"/>
      <c r="CQ88" s="208"/>
      <c r="CR88" s="180"/>
      <c r="CS88" s="388"/>
      <c r="CT88" s="219"/>
      <c r="CU88" s="196"/>
      <c r="CV88" s="196"/>
      <c r="CW88" s="196"/>
      <c r="CX88" s="196"/>
      <c r="CY88" s="196"/>
      <c r="CZ88" s="196"/>
      <c r="DA88" s="196"/>
      <c r="DB88" s="208"/>
      <c r="DC88" s="208"/>
      <c r="DD88" s="208"/>
      <c r="DE88" s="208"/>
      <c r="DF88" s="208"/>
      <c r="DG88" s="208"/>
      <c r="DH88" s="180"/>
      <c r="DI88" s="388"/>
      <c r="DJ88" s="219"/>
      <c r="DK88" s="196"/>
      <c r="DL88" s="196"/>
      <c r="DM88" s="196"/>
      <c r="DN88" s="196"/>
      <c r="DO88" s="196"/>
      <c r="DP88" s="196"/>
      <c r="DQ88" s="196"/>
      <c r="DR88" s="208"/>
      <c r="DS88" s="208"/>
      <c r="DT88" s="208"/>
      <c r="DU88" s="208"/>
      <c r="DV88" s="208"/>
      <c r="DW88" s="208"/>
      <c r="DX88" s="180"/>
      <c r="DY88" s="388"/>
      <c r="DZ88" s="219"/>
      <c r="EA88" s="196"/>
      <c r="EB88" s="196"/>
      <c r="EC88" s="196"/>
      <c r="ED88" s="196"/>
      <c r="EE88" s="196"/>
      <c r="EF88" s="196"/>
      <c r="EG88" s="196"/>
      <c r="EH88" s="208"/>
      <c r="EI88" s="208"/>
      <c r="EJ88" s="208"/>
      <c r="EK88" s="208"/>
      <c r="EL88" s="208"/>
      <c r="EM88" s="208"/>
      <c r="EN88" s="180"/>
      <c r="EO88" s="388"/>
      <c r="EP88" s="219"/>
      <c r="EQ88" s="196"/>
      <c r="ER88" s="196"/>
      <c r="ES88" s="196"/>
      <c r="ET88" s="196"/>
      <c r="EU88" s="196"/>
      <c r="EV88" s="196"/>
      <c r="EW88" s="196"/>
      <c r="EX88" s="208"/>
      <c r="EY88" s="208"/>
      <c r="EZ88" s="208"/>
      <c r="FA88" s="208"/>
      <c r="FB88" s="208"/>
      <c r="FC88" s="208"/>
      <c r="FD88" s="180"/>
      <c r="FE88" s="388"/>
      <c r="FF88" s="219"/>
      <c r="FG88" s="196"/>
      <c r="FH88" s="196"/>
      <c r="FI88" s="196"/>
      <c r="FJ88" s="196"/>
      <c r="FK88" s="196"/>
      <c r="FL88" s="196"/>
      <c r="FM88" s="196"/>
      <c r="FN88" s="208"/>
      <c r="FO88" s="208"/>
      <c r="FP88" s="208"/>
      <c r="FQ88" s="208"/>
      <c r="FR88" s="208"/>
      <c r="FS88" s="208"/>
      <c r="FT88" s="180"/>
      <c r="FU88" s="388"/>
      <c r="FV88" s="219"/>
      <c r="FW88" s="196"/>
      <c r="FX88" s="196"/>
      <c r="FY88" s="196"/>
      <c r="FZ88" s="196"/>
      <c r="GA88" s="196"/>
      <c r="GB88" s="196"/>
      <c r="GC88" s="196"/>
      <c r="GD88" s="208"/>
      <c r="GE88" s="208"/>
      <c r="GF88" s="208"/>
      <c r="GG88" s="208"/>
      <c r="GH88" s="208"/>
      <c r="GI88" s="208"/>
      <c r="GJ88" s="180"/>
      <c r="GK88" s="388"/>
      <c r="GL88" s="219"/>
      <c r="GM88" s="196"/>
      <c r="GN88" s="196"/>
      <c r="GO88" s="196"/>
      <c r="GP88" s="196"/>
      <c r="GQ88" s="196"/>
      <c r="GR88" s="196"/>
      <c r="GS88" s="196"/>
      <c r="GT88" s="208"/>
      <c r="GU88" s="208"/>
      <c r="GV88" s="208"/>
      <c r="GW88" s="208"/>
      <c r="GX88" s="208"/>
      <c r="GY88" s="208"/>
      <c r="GZ88" s="180"/>
      <c r="HA88" s="388"/>
      <c r="HB88" s="219"/>
      <c r="HC88" s="196"/>
      <c r="HD88" s="196"/>
      <c r="HE88" s="196"/>
      <c r="HF88" s="196"/>
      <c r="HG88" s="196"/>
      <c r="HH88" s="196"/>
      <c r="HI88" s="196"/>
      <c r="HJ88" s="208"/>
      <c r="HK88" s="208"/>
      <c r="HL88" s="208"/>
      <c r="HM88" s="208"/>
      <c r="HN88" s="208"/>
      <c r="HO88" s="208"/>
      <c r="HP88" s="180"/>
      <c r="HQ88" s="388"/>
      <c r="HR88" s="219"/>
      <c r="HS88" s="196"/>
      <c r="HT88" s="196"/>
      <c r="HU88" s="196"/>
      <c r="HV88" s="196"/>
      <c r="HW88" s="196"/>
      <c r="HX88" s="196"/>
      <c r="HY88" s="196"/>
      <c r="HZ88" s="208"/>
      <c r="IA88" s="208"/>
      <c r="IB88" s="208"/>
      <c r="IC88" s="208"/>
      <c r="ID88" s="208"/>
      <c r="IE88" s="208"/>
      <c r="IF88" s="180"/>
      <c r="IG88" s="388"/>
      <c r="IH88" s="219"/>
      <c r="II88" s="196"/>
      <c r="IJ88" s="196"/>
      <c r="IK88" s="196"/>
      <c r="IL88" s="196"/>
      <c r="IM88" s="196"/>
      <c r="IN88" s="196"/>
      <c r="IO88" s="196"/>
      <c r="IP88" s="208"/>
      <c r="IQ88" s="208"/>
      <c r="IR88" s="208"/>
      <c r="IS88" s="208"/>
      <c r="IT88" s="208"/>
      <c r="IU88" s="208"/>
    </row>
    <row r="89" spans="1:255" x14ac:dyDescent="0.2">
      <c r="A89" s="180"/>
      <c r="B89" s="387" t="s">
        <v>18</v>
      </c>
      <c r="C89" s="243"/>
      <c r="D89" s="228"/>
      <c r="E89" s="228"/>
      <c r="F89" s="228"/>
      <c r="G89" s="228"/>
      <c r="H89" s="228"/>
      <c r="I89" s="196"/>
      <c r="J89" s="196"/>
      <c r="K89" s="200">
        <v>0</v>
      </c>
      <c r="L89" s="200">
        <f>IF($A$1&gt;1,ROUND($K89*$U$15,0),0)</f>
        <v>0</v>
      </c>
      <c r="M89" s="200">
        <f>IF($A$1&gt;2,ROUND($K89*$U$15^2,0),0)</f>
        <v>0</v>
      </c>
      <c r="N89" s="200">
        <f>IF($A$1&gt;3,ROUND($K89*$U$15^3,0),0)</f>
        <v>0</v>
      </c>
      <c r="O89" s="200">
        <f>IF($A$1&gt;4,ROUND($K89*$U$15^4,0),0)</f>
        <v>0</v>
      </c>
      <c r="P89" s="201">
        <f>SUM(K89:O89)</f>
        <v>0</v>
      </c>
      <c r="Q89" s="180"/>
      <c r="R89" s="387"/>
      <c r="S89" s="243"/>
      <c r="T89" s="228"/>
      <c r="U89" s="228"/>
      <c r="V89" s="228"/>
      <c r="W89" s="228"/>
      <c r="X89" s="228"/>
      <c r="Y89" s="196"/>
      <c r="Z89" s="196"/>
      <c r="AA89" s="208"/>
      <c r="AB89" s="208"/>
      <c r="AC89" s="208"/>
      <c r="AD89" s="208"/>
      <c r="AE89" s="208"/>
      <c r="AF89" s="208"/>
      <c r="AG89" s="180"/>
      <c r="AH89" s="387"/>
      <c r="AI89" s="243"/>
      <c r="AJ89" s="228"/>
      <c r="AK89" s="228"/>
      <c r="AL89" s="228"/>
      <c r="AM89" s="228"/>
      <c r="AN89" s="196"/>
      <c r="AO89" s="196"/>
      <c r="AP89" s="208"/>
      <c r="AQ89" s="208"/>
      <c r="AR89" s="208"/>
      <c r="AS89" s="208"/>
      <c r="AT89" s="208"/>
      <c r="AU89" s="208"/>
      <c r="AV89" s="180"/>
      <c r="AW89" s="387"/>
      <c r="AX89" s="243"/>
      <c r="AY89" s="228"/>
      <c r="AZ89" s="228"/>
      <c r="BA89" s="228"/>
      <c r="BB89" s="228"/>
      <c r="BC89" s="228"/>
      <c r="BD89" s="196"/>
      <c r="BE89" s="196"/>
      <c r="BF89" s="208"/>
      <c r="BG89" s="208"/>
      <c r="BH89" s="208"/>
      <c r="BI89" s="208"/>
      <c r="BJ89" s="208"/>
      <c r="BK89" s="208"/>
      <c r="BL89" s="180"/>
      <c r="BM89" s="387"/>
      <c r="BN89" s="243"/>
      <c r="BO89" s="228"/>
      <c r="BP89" s="228"/>
      <c r="BQ89" s="228"/>
      <c r="BR89" s="228"/>
      <c r="BS89" s="228"/>
      <c r="BT89" s="196"/>
      <c r="BU89" s="196"/>
      <c r="BV89" s="208"/>
      <c r="BW89" s="208"/>
      <c r="BX89" s="208"/>
      <c r="BY89" s="208"/>
      <c r="BZ89" s="208"/>
      <c r="CA89" s="208"/>
      <c r="CB89" s="180"/>
      <c r="CC89" s="387"/>
      <c r="CD89" s="243"/>
      <c r="CE89" s="228"/>
      <c r="CF89" s="228"/>
      <c r="CG89" s="228"/>
      <c r="CH89" s="228"/>
      <c r="CI89" s="228"/>
      <c r="CJ89" s="196"/>
      <c r="CK89" s="196"/>
      <c r="CL89" s="208"/>
      <c r="CM89" s="208"/>
      <c r="CN89" s="208"/>
      <c r="CO89" s="208"/>
      <c r="CP89" s="208"/>
      <c r="CQ89" s="208"/>
      <c r="CR89" s="180"/>
      <c r="CS89" s="387"/>
      <c r="CT89" s="243"/>
      <c r="CU89" s="228"/>
      <c r="CV89" s="228"/>
      <c r="CW89" s="228"/>
      <c r="CX89" s="228"/>
      <c r="CY89" s="228"/>
      <c r="CZ89" s="196"/>
      <c r="DA89" s="196"/>
      <c r="DB89" s="208"/>
      <c r="DC89" s="208"/>
      <c r="DD89" s="208"/>
      <c r="DE89" s="208"/>
      <c r="DF89" s="208"/>
      <c r="DG89" s="208"/>
      <c r="DH89" s="180"/>
      <c r="DI89" s="387"/>
      <c r="DJ89" s="243"/>
      <c r="DK89" s="228"/>
      <c r="DL89" s="228"/>
      <c r="DM89" s="228"/>
      <c r="DN89" s="228"/>
      <c r="DO89" s="228"/>
      <c r="DP89" s="196"/>
      <c r="DQ89" s="196"/>
      <c r="DR89" s="208"/>
      <c r="DS89" s="208"/>
      <c r="DT89" s="208"/>
      <c r="DU89" s="208"/>
      <c r="DV89" s="208"/>
      <c r="DW89" s="208"/>
      <c r="DX89" s="180"/>
      <c r="DY89" s="387"/>
      <c r="DZ89" s="243"/>
      <c r="EA89" s="228"/>
      <c r="EB89" s="228"/>
      <c r="EC89" s="228"/>
      <c r="ED89" s="228"/>
      <c r="EE89" s="228"/>
      <c r="EF89" s="196"/>
      <c r="EG89" s="196"/>
      <c r="EH89" s="208"/>
      <c r="EI89" s="208"/>
      <c r="EJ89" s="208"/>
      <c r="EK89" s="208"/>
      <c r="EL89" s="208"/>
      <c r="EM89" s="208"/>
      <c r="EN89" s="180"/>
      <c r="EO89" s="387"/>
      <c r="EP89" s="243"/>
      <c r="EQ89" s="228"/>
      <c r="ER89" s="228"/>
      <c r="ES89" s="228"/>
      <c r="ET89" s="228"/>
      <c r="EU89" s="228"/>
      <c r="EV89" s="196"/>
      <c r="EW89" s="196"/>
      <c r="EX89" s="208"/>
      <c r="EY89" s="208"/>
      <c r="EZ89" s="208"/>
      <c r="FA89" s="208"/>
      <c r="FB89" s="208"/>
      <c r="FC89" s="208"/>
      <c r="FD89" s="180"/>
      <c r="FE89" s="387"/>
      <c r="FF89" s="243"/>
      <c r="FG89" s="228"/>
      <c r="FH89" s="228"/>
      <c r="FI89" s="228"/>
      <c r="FJ89" s="228"/>
      <c r="FK89" s="228"/>
      <c r="FL89" s="196"/>
      <c r="FM89" s="196"/>
      <c r="FN89" s="208"/>
      <c r="FO89" s="208"/>
      <c r="FP89" s="208"/>
      <c r="FQ89" s="208"/>
      <c r="FR89" s="208"/>
      <c r="FS89" s="208"/>
      <c r="FT89" s="180"/>
      <c r="FU89" s="387"/>
      <c r="FV89" s="243"/>
      <c r="FW89" s="228"/>
      <c r="FX89" s="228"/>
      <c r="FY89" s="228"/>
      <c r="FZ89" s="228"/>
      <c r="GA89" s="228"/>
      <c r="GB89" s="196"/>
      <c r="GC89" s="196"/>
      <c r="GD89" s="208"/>
      <c r="GE89" s="208"/>
      <c r="GF89" s="208"/>
      <c r="GG89" s="208"/>
      <c r="GH89" s="208"/>
      <c r="GI89" s="208"/>
      <c r="GJ89" s="180"/>
      <c r="GK89" s="387"/>
      <c r="GL89" s="243"/>
      <c r="GM89" s="228"/>
      <c r="GN89" s="228"/>
      <c r="GO89" s="228"/>
      <c r="GP89" s="228"/>
      <c r="GQ89" s="228"/>
      <c r="GR89" s="196"/>
      <c r="GS89" s="196"/>
      <c r="GT89" s="208"/>
      <c r="GU89" s="208"/>
      <c r="GV89" s="208"/>
      <c r="GW89" s="208"/>
      <c r="GX89" s="208"/>
      <c r="GY89" s="208"/>
      <c r="GZ89" s="180"/>
      <c r="HA89" s="387"/>
      <c r="HB89" s="243"/>
      <c r="HC89" s="228"/>
      <c r="HD89" s="228"/>
      <c r="HE89" s="228"/>
      <c r="HF89" s="228"/>
      <c r="HG89" s="228"/>
      <c r="HH89" s="196"/>
      <c r="HI89" s="196"/>
      <c r="HJ89" s="208"/>
      <c r="HK89" s="208"/>
      <c r="HL89" s="208"/>
      <c r="HM89" s="208"/>
      <c r="HN89" s="208"/>
      <c r="HO89" s="208"/>
      <c r="HP89" s="180"/>
      <c r="HQ89" s="387"/>
      <c r="HR89" s="243"/>
      <c r="HS89" s="228"/>
      <c r="HT89" s="228"/>
      <c r="HU89" s="228"/>
      <c r="HV89" s="228"/>
      <c r="HW89" s="228"/>
      <c r="HX89" s="196"/>
      <c r="HY89" s="196"/>
      <c r="HZ89" s="208"/>
      <c r="IA89" s="208"/>
      <c r="IB89" s="208"/>
      <c r="IC89" s="208"/>
      <c r="ID89" s="208"/>
      <c r="IE89" s="208"/>
      <c r="IF89" s="180"/>
      <c r="IG89" s="387"/>
      <c r="IH89" s="243"/>
      <c r="II89" s="228"/>
      <c r="IJ89" s="228"/>
      <c r="IK89" s="228"/>
      <c r="IL89" s="228"/>
      <c r="IM89" s="228"/>
      <c r="IN89" s="196"/>
      <c r="IO89" s="196"/>
      <c r="IP89" s="208"/>
      <c r="IQ89" s="208"/>
      <c r="IR89" s="208"/>
      <c r="IS89" s="208"/>
      <c r="IT89" s="208"/>
      <c r="IU89" s="208"/>
    </row>
    <row r="90" spans="1:255" x14ac:dyDescent="0.2">
      <c r="A90" s="180"/>
      <c r="B90" s="219"/>
      <c r="C90" s="219"/>
      <c r="D90" s="228"/>
      <c r="E90" s="228"/>
      <c r="F90" s="228"/>
      <c r="G90" s="228"/>
      <c r="H90" s="228"/>
      <c r="I90" s="196"/>
      <c r="J90" s="196"/>
      <c r="K90" s="224"/>
      <c r="L90" s="224">
        <f>IF($A$1&gt;1,ROUND($K90*$U$15,0),0)</f>
        <v>0</v>
      </c>
      <c r="M90" s="224">
        <f>IF($A$1&gt;2,ROUND($K90*$U$15^2,0),0)</f>
        <v>0</v>
      </c>
      <c r="N90" s="224">
        <f>IF($A$1&gt;3,ROUND($K90*$U$15^3,0),0)</f>
        <v>0</v>
      </c>
      <c r="O90" s="224">
        <f>IF($A$1&gt;4,ROUND($K90*$U$15^4,0),0)</f>
        <v>0</v>
      </c>
      <c r="P90" s="225">
        <f>SUM(K90:O90)</f>
        <v>0</v>
      </c>
      <c r="Q90" s="180"/>
      <c r="R90" s="219"/>
      <c r="S90" s="219"/>
      <c r="T90" s="228"/>
      <c r="U90" s="228"/>
      <c r="V90" s="228"/>
      <c r="W90" s="228"/>
      <c r="X90" s="228"/>
      <c r="Y90" s="196"/>
      <c r="Z90" s="196"/>
      <c r="AA90" s="208"/>
      <c r="AB90" s="208"/>
      <c r="AC90" s="208"/>
      <c r="AD90" s="208"/>
      <c r="AE90" s="208"/>
      <c r="AF90" s="208"/>
      <c r="AG90" s="180"/>
      <c r="AH90" s="219"/>
      <c r="AI90" s="219"/>
      <c r="AJ90" s="228"/>
      <c r="AK90" s="228"/>
      <c r="AL90" s="228"/>
      <c r="AM90" s="228"/>
      <c r="AN90" s="196"/>
      <c r="AO90" s="196"/>
      <c r="AP90" s="208"/>
      <c r="AQ90" s="208"/>
      <c r="AR90" s="208"/>
      <c r="AS90" s="208"/>
      <c r="AT90" s="208"/>
      <c r="AU90" s="208"/>
      <c r="AV90" s="180"/>
      <c r="AW90" s="219"/>
      <c r="AX90" s="219"/>
      <c r="AY90" s="228"/>
      <c r="AZ90" s="228"/>
      <c r="BA90" s="228"/>
      <c r="BB90" s="228"/>
      <c r="BC90" s="228"/>
      <c r="BD90" s="196"/>
      <c r="BE90" s="196"/>
      <c r="BF90" s="208"/>
      <c r="BG90" s="208"/>
      <c r="BH90" s="208"/>
      <c r="BI90" s="208"/>
      <c r="BJ90" s="208"/>
      <c r="BK90" s="208"/>
      <c r="BL90" s="180"/>
      <c r="BM90" s="219"/>
      <c r="BN90" s="219"/>
      <c r="BO90" s="228"/>
      <c r="BP90" s="228"/>
      <c r="BQ90" s="228"/>
      <c r="BR90" s="228"/>
      <c r="BS90" s="228"/>
      <c r="BT90" s="196"/>
      <c r="BU90" s="196"/>
      <c r="BV90" s="208"/>
      <c r="BW90" s="208"/>
      <c r="BX90" s="208"/>
      <c r="BY90" s="208"/>
      <c r="BZ90" s="208"/>
      <c r="CA90" s="208"/>
      <c r="CB90" s="180"/>
      <c r="CC90" s="219"/>
      <c r="CD90" s="219"/>
      <c r="CE90" s="228"/>
      <c r="CF90" s="228"/>
      <c r="CG90" s="228"/>
      <c r="CH90" s="228"/>
      <c r="CI90" s="228"/>
      <c r="CJ90" s="196"/>
      <c r="CK90" s="196"/>
      <c r="CL90" s="208"/>
      <c r="CM90" s="208"/>
      <c r="CN90" s="208"/>
      <c r="CO90" s="208"/>
      <c r="CP90" s="208"/>
      <c r="CQ90" s="208"/>
      <c r="CR90" s="180"/>
      <c r="CS90" s="219"/>
      <c r="CT90" s="219"/>
      <c r="CU90" s="228"/>
      <c r="CV90" s="228"/>
      <c r="CW90" s="228"/>
      <c r="CX90" s="228"/>
      <c r="CY90" s="228"/>
      <c r="CZ90" s="196"/>
      <c r="DA90" s="196"/>
      <c r="DB90" s="208"/>
      <c r="DC90" s="208"/>
      <c r="DD90" s="208"/>
      <c r="DE90" s="208"/>
      <c r="DF90" s="208"/>
      <c r="DG90" s="208"/>
      <c r="DH90" s="180"/>
      <c r="DI90" s="219"/>
      <c r="DJ90" s="219"/>
      <c r="DK90" s="228"/>
      <c r="DL90" s="228"/>
      <c r="DM90" s="228"/>
      <c r="DN90" s="228"/>
      <c r="DO90" s="228"/>
      <c r="DP90" s="196"/>
      <c r="DQ90" s="196"/>
      <c r="DR90" s="208"/>
      <c r="DS90" s="208"/>
      <c r="DT90" s="208"/>
      <c r="DU90" s="208"/>
      <c r="DV90" s="208"/>
      <c r="DW90" s="208"/>
      <c r="DX90" s="180"/>
      <c r="DY90" s="219"/>
      <c r="DZ90" s="219"/>
      <c r="EA90" s="228"/>
      <c r="EB90" s="228"/>
      <c r="EC90" s="228"/>
      <c r="ED90" s="228"/>
      <c r="EE90" s="228"/>
      <c r="EF90" s="196"/>
      <c r="EG90" s="196"/>
      <c r="EH90" s="208"/>
      <c r="EI90" s="208"/>
      <c r="EJ90" s="208"/>
      <c r="EK90" s="208"/>
      <c r="EL90" s="208"/>
      <c r="EM90" s="208"/>
      <c r="EN90" s="180"/>
      <c r="EO90" s="219"/>
      <c r="EP90" s="219"/>
      <c r="EQ90" s="228"/>
      <c r="ER90" s="228"/>
      <c r="ES90" s="228"/>
      <c r="ET90" s="228"/>
      <c r="EU90" s="228"/>
      <c r="EV90" s="196"/>
      <c r="EW90" s="196"/>
      <c r="EX90" s="208"/>
      <c r="EY90" s="208"/>
      <c r="EZ90" s="208"/>
      <c r="FA90" s="208"/>
      <c r="FB90" s="208"/>
      <c r="FC90" s="208"/>
      <c r="FD90" s="180"/>
      <c r="FE90" s="219"/>
      <c r="FF90" s="219"/>
      <c r="FG90" s="228"/>
      <c r="FH90" s="228"/>
      <c r="FI90" s="228"/>
      <c r="FJ90" s="228"/>
      <c r="FK90" s="228"/>
      <c r="FL90" s="196"/>
      <c r="FM90" s="196"/>
      <c r="FN90" s="208"/>
      <c r="FO90" s="208"/>
      <c r="FP90" s="208"/>
      <c r="FQ90" s="208"/>
      <c r="FR90" s="208"/>
      <c r="FS90" s="208"/>
      <c r="FT90" s="180"/>
      <c r="FU90" s="219"/>
      <c r="FV90" s="219"/>
      <c r="FW90" s="228"/>
      <c r="FX90" s="228"/>
      <c r="FY90" s="228"/>
      <c r="FZ90" s="228"/>
      <c r="GA90" s="228"/>
      <c r="GB90" s="196"/>
      <c r="GC90" s="196"/>
      <c r="GD90" s="208"/>
      <c r="GE90" s="208"/>
      <c r="GF90" s="208"/>
      <c r="GG90" s="208"/>
      <c r="GH90" s="208"/>
      <c r="GI90" s="208"/>
      <c r="GJ90" s="180"/>
      <c r="GK90" s="219"/>
      <c r="GL90" s="219"/>
      <c r="GM90" s="228"/>
      <c r="GN90" s="228"/>
      <c r="GO90" s="228"/>
      <c r="GP90" s="228"/>
      <c r="GQ90" s="228"/>
      <c r="GR90" s="196"/>
      <c r="GS90" s="196"/>
      <c r="GT90" s="208"/>
      <c r="GU90" s="208"/>
      <c r="GV90" s="208"/>
      <c r="GW90" s="208"/>
      <c r="GX90" s="208"/>
      <c r="GY90" s="208"/>
      <c r="GZ90" s="180"/>
      <c r="HA90" s="219"/>
      <c r="HB90" s="219"/>
      <c r="HC90" s="228"/>
      <c r="HD90" s="228"/>
      <c r="HE90" s="228"/>
      <c r="HF90" s="228"/>
      <c r="HG90" s="228"/>
      <c r="HH90" s="196"/>
      <c r="HI90" s="196"/>
      <c r="HJ90" s="208"/>
      <c r="HK90" s="208"/>
      <c r="HL90" s="208"/>
      <c r="HM90" s="208"/>
      <c r="HN90" s="208"/>
      <c r="HO90" s="208"/>
      <c r="HP90" s="180"/>
      <c r="HQ90" s="219"/>
      <c r="HR90" s="219"/>
      <c r="HS90" s="228"/>
      <c r="HT90" s="228"/>
      <c r="HU90" s="228"/>
      <c r="HV90" s="228"/>
      <c r="HW90" s="228"/>
      <c r="HX90" s="196"/>
      <c r="HY90" s="196"/>
      <c r="HZ90" s="208"/>
      <c r="IA90" s="208"/>
      <c r="IB90" s="208"/>
      <c r="IC90" s="208"/>
      <c r="ID90" s="208"/>
      <c r="IE90" s="208"/>
      <c r="IF90" s="180"/>
      <c r="IG90" s="219"/>
      <c r="IH90" s="219"/>
      <c r="II90" s="228"/>
      <c r="IJ90" s="228"/>
      <c r="IK90" s="228"/>
      <c r="IL90" s="228"/>
      <c r="IM90" s="228"/>
      <c r="IN90" s="196"/>
      <c r="IO90" s="196"/>
      <c r="IP90" s="208"/>
      <c r="IQ90" s="208"/>
      <c r="IR90" s="208"/>
      <c r="IS90" s="208"/>
      <c r="IT90" s="208"/>
      <c r="IU90" s="208"/>
    </row>
    <row r="91" spans="1:255" ht="13.5" x14ac:dyDescent="0.25">
      <c r="A91" s="180"/>
      <c r="B91" s="219"/>
      <c r="C91" s="219"/>
      <c r="D91" s="228"/>
      <c r="E91" s="228"/>
      <c r="F91" s="228"/>
      <c r="G91" s="228"/>
      <c r="H91" s="228"/>
      <c r="I91" s="238"/>
      <c r="J91" s="238" t="s">
        <v>20</v>
      </c>
      <c r="K91" s="239">
        <f>SUM(K87:K90)</f>
        <v>0</v>
      </c>
      <c r="L91" s="239">
        <f>IF($A$1&gt;1,SUM(L87:L90),0)</f>
        <v>0</v>
      </c>
      <c r="M91" s="239">
        <f>IF($A$1&gt;2,SUM(M87:M90),0)</f>
        <v>0</v>
      </c>
      <c r="N91" s="239">
        <f>IF($A$1&gt;3,SUM(N87:N90),0)</f>
        <v>0</v>
      </c>
      <c r="O91" s="239">
        <f>IF($A$1&gt;4,SUM(O87:O90),0)</f>
        <v>0</v>
      </c>
      <c r="P91" s="242">
        <f>SUM(K91:O91)</f>
        <v>0</v>
      </c>
      <c r="Q91" s="180"/>
      <c r="R91" s="219"/>
      <c r="S91" s="219"/>
      <c r="T91" s="228"/>
      <c r="U91" s="228"/>
      <c r="V91" s="228"/>
      <c r="W91" s="228"/>
      <c r="X91" s="228"/>
      <c r="Y91" s="238"/>
      <c r="Z91" s="238"/>
      <c r="AA91" s="386"/>
      <c r="AB91" s="386"/>
      <c r="AC91" s="386"/>
      <c r="AD91" s="386"/>
      <c r="AE91" s="386"/>
      <c r="AF91" s="386"/>
      <c r="AG91" s="180"/>
      <c r="AH91" s="219"/>
      <c r="AI91" s="219"/>
      <c r="AJ91" s="228"/>
      <c r="AK91" s="228"/>
      <c r="AL91" s="228"/>
      <c r="AM91" s="228"/>
      <c r="AN91" s="238"/>
      <c r="AO91" s="238"/>
      <c r="AP91" s="386"/>
      <c r="AQ91" s="386"/>
      <c r="AR91" s="386"/>
      <c r="AS91" s="386"/>
      <c r="AT91" s="386"/>
      <c r="AU91" s="386"/>
      <c r="AV91" s="180"/>
      <c r="AW91" s="219"/>
      <c r="AX91" s="219"/>
      <c r="AY91" s="228"/>
      <c r="AZ91" s="228"/>
      <c r="BA91" s="228"/>
      <c r="BB91" s="228"/>
      <c r="BC91" s="228"/>
      <c r="BD91" s="238"/>
      <c r="BE91" s="238"/>
      <c r="BF91" s="386"/>
      <c r="BG91" s="386"/>
      <c r="BH91" s="386"/>
      <c r="BI91" s="386"/>
      <c r="BJ91" s="386"/>
      <c r="BK91" s="386"/>
      <c r="BL91" s="180"/>
      <c r="BM91" s="219"/>
      <c r="BN91" s="219"/>
      <c r="BO91" s="228"/>
      <c r="BP91" s="228"/>
      <c r="BQ91" s="228"/>
      <c r="BR91" s="228"/>
      <c r="BS91" s="228"/>
      <c r="BT91" s="238"/>
      <c r="BU91" s="238"/>
      <c r="BV91" s="386"/>
      <c r="BW91" s="386"/>
      <c r="BX91" s="386"/>
      <c r="BY91" s="386"/>
      <c r="BZ91" s="386"/>
      <c r="CA91" s="386"/>
      <c r="CB91" s="180"/>
      <c r="CC91" s="219"/>
      <c r="CD91" s="219"/>
      <c r="CE91" s="228"/>
      <c r="CF91" s="228"/>
      <c r="CG91" s="228"/>
      <c r="CH91" s="228"/>
      <c r="CI91" s="228"/>
      <c r="CJ91" s="238"/>
      <c r="CK91" s="238"/>
      <c r="CL91" s="386"/>
      <c r="CM91" s="386"/>
      <c r="CN91" s="386"/>
      <c r="CO91" s="386"/>
      <c r="CP91" s="386"/>
      <c r="CQ91" s="386"/>
      <c r="CR91" s="180"/>
      <c r="CS91" s="219"/>
      <c r="CT91" s="219"/>
      <c r="CU91" s="228"/>
      <c r="CV91" s="228"/>
      <c r="CW91" s="228"/>
      <c r="CX91" s="228"/>
      <c r="CY91" s="228"/>
      <c r="CZ91" s="238"/>
      <c r="DA91" s="238"/>
      <c r="DB91" s="386"/>
      <c r="DC91" s="386"/>
      <c r="DD91" s="386"/>
      <c r="DE91" s="386"/>
      <c r="DF91" s="386"/>
      <c r="DG91" s="386"/>
      <c r="DH91" s="180"/>
      <c r="DI91" s="219"/>
      <c r="DJ91" s="219"/>
      <c r="DK91" s="228"/>
      <c r="DL91" s="228"/>
      <c r="DM91" s="228"/>
      <c r="DN91" s="228"/>
      <c r="DO91" s="228"/>
      <c r="DP91" s="238"/>
      <c r="DQ91" s="238"/>
      <c r="DR91" s="386"/>
      <c r="DS91" s="386"/>
      <c r="DT91" s="386"/>
      <c r="DU91" s="386"/>
      <c r="DV91" s="386"/>
      <c r="DW91" s="386"/>
      <c r="DX91" s="180"/>
      <c r="DY91" s="219"/>
      <c r="DZ91" s="219"/>
      <c r="EA91" s="228"/>
      <c r="EB91" s="228"/>
      <c r="EC91" s="228"/>
      <c r="ED91" s="228"/>
      <c r="EE91" s="228"/>
      <c r="EF91" s="238"/>
      <c r="EG91" s="238"/>
      <c r="EH91" s="386"/>
      <c r="EI91" s="386"/>
      <c r="EJ91" s="386"/>
      <c r="EK91" s="386"/>
      <c r="EL91" s="386"/>
      <c r="EM91" s="386"/>
      <c r="EN91" s="180"/>
      <c r="EO91" s="219"/>
      <c r="EP91" s="219"/>
      <c r="EQ91" s="228"/>
      <c r="ER91" s="228"/>
      <c r="ES91" s="228"/>
      <c r="ET91" s="228"/>
      <c r="EU91" s="228"/>
      <c r="EV91" s="238"/>
      <c r="EW91" s="238"/>
      <c r="EX91" s="386"/>
      <c r="EY91" s="386"/>
      <c r="EZ91" s="386"/>
      <c r="FA91" s="386"/>
      <c r="FB91" s="386"/>
      <c r="FC91" s="386"/>
      <c r="FD91" s="180"/>
      <c r="FE91" s="219"/>
      <c r="FF91" s="219"/>
      <c r="FG91" s="228"/>
      <c r="FH91" s="228"/>
      <c r="FI91" s="228"/>
      <c r="FJ91" s="228"/>
      <c r="FK91" s="228"/>
      <c r="FL91" s="238"/>
      <c r="FM91" s="238"/>
      <c r="FN91" s="386"/>
      <c r="FO91" s="386"/>
      <c r="FP91" s="386"/>
      <c r="FQ91" s="386"/>
      <c r="FR91" s="386"/>
      <c r="FS91" s="386"/>
      <c r="FT91" s="180"/>
      <c r="FU91" s="219"/>
      <c r="FV91" s="219"/>
      <c r="FW91" s="228"/>
      <c r="FX91" s="228"/>
      <c r="FY91" s="228"/>
      <c r="FZ91" s="228"/>
      <c r="GA91" s="228"/>
      <c r="GB91" s="238"/>
      <c r="GC91" s="238"/>
      <c r="GD91" s="386"/>
      <c r="GE91" s="386"/>
      <c r="GF91" s="386"/>
      <c r="GG91" s="386"/>
      <c r="GH91" s="386"/>
      <c r="GI91" s="386"/>
      <c r="GJ91" s="180"/>
      <c r="GK91" s="219"/>
      <c r="GL91" s="219"/>
      <c r="GM91" s="228"/>
      <c r="GN91" s="228"/>
      <c r="GO91" s="228"/>
      <c r="GP91" s="228"/>
      <c r="GQ91" s="228"/>
      <c r="GR91" s="238"/>
      <c r="GS91" s="238"/>
      <c r="GT91" s="386"/>
      <c r="GU91" s="386"/>
      <c r="GV91" s="386"/>
      <c r="GW91" s="386"/>
      <c r="GX91" s="386"/>
      <c r="GY91" s="386"/>
      <c r="GZ91" s="180"/>
      <c r="HA91" s="219"/>
      <c r="HB91" s="219"/>
      <c r="HC91" s="228"/>
      <c r="HD91" s="228"/>
      <c r="HE91" s="228"/>
      <c r="HF91" s="228"/>
      <c r="HG91" s="228"/>
      <c r="HH91" s="238"/>
      <c r="HI91" s="238"/>
      <c r="HJ91" s="386"/>
      <c r="HK91" s="386"/>
      <c r="HL91" s="386"/>
      <c r="HM91" s="386"/>
      <c r="HN91" s="386"/>
      <c r="HO91" s="386"/>
      <c r="HP91" s="180"/>
      <c r="HQ91" s="219"/>
      <c r="HR91" s="219"/>
      <c r="HS91" s="228"/>
      <c r="HT91" s="228"/>
      <c r="HU91" s="228"/>
      <c r="HV91" s="228"/>
      <c r="HW91" s="228"/>
      <c r="HX91" s="238"/>
      <c r="HY91" s="238"/>
      <c r="HZ91" s="386"/>
      <c r="IA91" s="386"/>
      <c r="IB91" s="386"/>
      <c r="IC91" s="386"/>
      <c r="ID91" s="386"/>
      <c r="IE91" s="386"/>
      <c r="IF91" s="180"/>
      <c r="IG91" s="219"/>
      <c r="IH91" s="219"/>
      <c r="II91" s="228"/>
      <c r="IJ91" s="228"/>
      <c r="IK91" s="228"/>
      <c r="IL91" s="228"/>
      <c r="IM91" s="228"/>
      <c r="IN91" s="238"/>
      <c r="IO91" s="238"/>
      <c r="IP91" s="386"/>
      <c r="IQ91" s="386"/>
      <c r="IR91" s="386"/>
      <c r="IS91" s="386"/>
      <c r="IT91" s="386"/>
      <c r="IU91" s="386"/>
    </row>
    <row r="92" spans="1:255" ht="13.5" x14ac:dyDescent="0.25">
      <c r="A92" s="180"/>
      <c r="B92" s="219"/>
      <c r="C92" s="219"/>
      <c r="D92" s="228"/>
      <c r="E92" s="228"/>
      <c r="F92" s="228"/>
      <c r="G92" s="228"/>
      <c r="H92" s="228"/>
      <c r="I92" s="238"/>
      <c r="J92" s="238"/>
      <c r="K92" s="386"/>
      <c r="L92" s="386"/>
      <c r="M92" s="386"/>
      <c r="N92" s="386"/>
      <c r="O92" s="386"/>
      <c r="P92" s="241"/>
      <c r="Q92" s="180"/>
      <c r="R92" s="219"/>
      <c r="S92" s="219"/>
      <c r="T92" s="228"/>
      <c r="U92" s="228"/>
      <c r="V92" s="228"/>
      <c r="W92" s="228"/>
      <c r="X92" s="228"/>
      <c r="Y92" s="238"/>
      <c r="Z92" s="238"/>
      <c r="AA92" s="386"/>
      <c r="AB92" s="386"/>
      <c r="AC92" s="386"/>
      <c r="AD92" s="386"/>
      <c r="AE92" s="386"/>
      <c r="AF92" s="386"/>
      <c r="AG92" s="180"/>
      <c r="AH92" s="219"/>
      <c r="AI92" s="219"/>
      <c r="AJ92" s="228"/>
      <c r="AK92" s="228"/>
      <c r="AL92" s="228"/>
      <c r="AM92" s="228"/>
      <c r="AN92" s="238"/>
      <c r="AO92" s="238"/>
      <c r="AP92" s="386"/>
      <c r="AQ92" s="386"/>
      <c r="AR92" s="386"/>
      <c r="AS92" s="386"/>
      <c r="AT92" s="386"/>
      <c r="AU92" s="386"/>
      <c r="AV92" s="180"/>
      <c r="AW92" s="219"/>
      <c r="AX92" s="219"/>
      <c r="AY92" s="228"/>
      <c r="AZ92" s="228"/>
      <c r="BA92" s="228"/>
      <c r="BB92" s="228"/>
      <c r="BC92" s="228"/>
      <c r="BD92" s="238"/>
      <c r="BE92" s="238"/>
      <c r="BF92" s="386"/>
      <c r="BG92" s="386"/>
      <c r="BH92" s="386"/>
      <c r="BI92" s="386"/>
      <c r="BJ92" s="386"/>
      <c r="BK92" s="386"/>
      <c r="BL92" s="180"/>
      <c r="BM92" s="219"/>
      <c r="BN92" s="219"/>
      <c r="BO92" s="228"/>
      <c r="BP92" s="228"/>
      <c r="BQ92" s="228"/>
      <c r="BR92" s="228"/>
      <c r="BS92" s="228"/>
      <c r="BT92" s="238"/>
      <c r="BU92" s="238"/>
      <c r="BV92" s="386"/>
      <c r="BW92" s="386"/>
      <c r="BX92" s="386"/>
      <c r="BY92" s="386"/>
      <c r="BZ92" s="386"/>
      <c r="CA92" s="386"/>
      <c r="CB92" s="180"/>
      <c r="CC92" s="219"/>
      <c r="CD92" s="219"/>
      <c r="CE92" s="228"/>
      <c r="CF92" s="228"/>
      <c r="CG92" s="228"/>
      <c r="CH92" s="228"/>
      <c r="CI92" s="228"/>
      <c r="CJ92" s="238"/>
      <c r="CK92" s="238"/>
      <c r="CL92" s="386"/>
      <c r="CM92" s="386"/>
      <c r="CN92" s="386"/>
      <c r="CO92" s="386"/>
      <c r="CP92" s="386"/>
      <c r="CQ92" s="386"/>
      <c r="CR92" s="180"/>
      <c r="CS92" s="219"/>
      <c r="CT92" s="219"/>
      <c r="CU92" s="228"/>
      <c r="CV92" s="228"/>
      <c r="CW92" s="228"/>
      <c r="CX92" s="228"/>
      <c r="CY92" s="228"/>
      <c r="CZ92" s="238"/>
      <c r="DA92" s="238"/>
      <c r="DB92" s="386"/>
      <c r="DC92" s="386"/>
      <c r="DD92" s="386"/>
      <c r="DE92" s="386"/>
      <c r="DF92" s="386"/>
      <c r="DG92" s="386"/>
      <c r="DH92" s="180"/>
      <c r="DI92" s="219"/>
      <c r="DJ92" s="219"/>
      <c r="DK92" s="228"/>
      <c r="DL92" s="228"/>
      <c r="DM92" s="228"/>
      <c r="DN92" s="228"/>
      <c r="DO92" s="228"/>
      <c r="DP92" s="238"/>
      <c r="DQ92" s="238"/>
      <c r="DR92" s="386"/>
      <c r="DS92" s="386"/>
      <c r="DT92" s="386"/>
      <c r="DU92" s="386"/>
      <c r="DV92" s="386"/>
      <c r="DW92" s="386"/>
      <c r="DX92" s="180"/>
      <c r="DY92" s="219"/>
      <c r="DZ92" s="219"/>
      <c r="EA92" s="228"/>
      <c r="EB92" s="228"/>
      <c r="EC92" s="228"/>
      <c r="ED92" s="228"/>
      <c r="EE92" s="228"/>
      <c r="EF92" s="238"/>
      <c r="EG92" s="238"/>
      <c r="EH92" s="386"/>
      <c r="EI92" s="386"/>
      <c r="EJ92" s="386"/>
      <c r="EK92" s="386"/>
      <c r="EL92" s="386"/>
      <c r="EM92" s="386"/>
      <c r="EN92" s="180"/>
      <c r="EO92" s="219"/>
      <c r="EP92" s="219"/>
      <c r="EQ92" s="228"/>
      <c r="ER92" s="228"/>
      <c r="ES92" s="228"/>
      <c r="ET92" s="228"/>
      <c r="EU92" s="228"/>
      <c r="EV92" s="238"/>
      <c r="EW92" s="238"/>
      <c r="EX92" s="386"/>
      <c r="EY92" s="386"/>
      <c r="EZ92" s="386"/>
      <c r="FA92" s="386"/>
      <c r="FB92" s="386"/>
      <c r="FC92" s="386"/>
      <c r="FD92" s="180"/>
      <c r="FE92" s="219"/>
      <c r="FF92" s="219"/>
      <c r="FG92" s="228"/>
      <c r="FH92" s="228"/>
      <c r="FI92" s="228"/>
      <c r="FJ92" s="228"/>
      <c r="FK92" s="228"/>
      <c r="FL92" s="238"/>
      <c r="FM92" s="238"/>
      <c r="FN92" s="386"/>
      <c r="FO92" s="386"/>
      <c r="FP92" s="386"/>
      <c r="FQ92" s="386"/>
      <c r="FR92" s="386"/>
      <c r="FS92" s="386"/>
      <c r="FT92" s="180"/>
      <c r="FU92" s="219"/>
      <c r="FV92" s="219"/>
      <c r="FW92" s="228"/>
      <c r="FX92" s="228"/>
      <c r="FY92" s="228"/>
      <c r="FZ92" s="228"/>
      <c r="GA92" s="228"/>
      <c r="GB92" s="238"/>
      <c r="GC92" s="238"/>
      <c r="GD92" s="386"/>
      <c r="GE92" s="386"/>
      <c r="GF92" s="386"/>
      <c r="GG92" s="386"/>
      <c r="GH92" s="386"/>
      <c r="GI92" s="386"/>
      <c r="GJ92" s="180"/>
      <c r="GK92" s="219"/>
      <c r="GL92" s="219"/>
      <c r="GM92" s="228"/>
      <c r="GN92" s="228"/>
      <c r="GO92" s="228"/>
      <c r="GP92" s="228"/>
      <c r="GQ92" s="228"/>
      <c r="GR92" s="238"/>
      <c r="GS92" s="238"/>
      <c r="GT92" s="386"/>
      <c r="GU92" s="386"/>
      <c r="GV92" s="386"/>
      <c r="GW92" s="386"/>
      <c r="GX92" s="386"/>
      <c r="GY92" s="386"/>
      <c r="GZ92" s="180"/>
      <c r="HA92" s="219"/>
      <c r="HB92" s="219"/>
      <c r="HC92" s="228"/>
      <c r="HD92" s="228"/>
      <c r="HE92" s="228"/>
      <c r="HF92" s="228"/>
      <c r="HG92" s="228"/>
      <c r="HH92" s="238"/>
      <c r="HI92" s="238"/>
      <c r="HJ92" s="386"/>
      <c r="HK92" s="386"/>
      <c r="HL92" s="386"/>
      <c r="HM92" s="386"/>
      <c r="HN92" s="386"/>
      <c r="HO92" s="386"/>
      <c r="HP92" s="180"/>
      <c r="HQ92" s="219"/>
      <c r="HR92" s="219"/>
      <c r="HS92" s="228"/>
      <c r="HT92" s="228"/>
      <c r="HU92" s="228"/>
      <c r="HV92" s="228"/>
      <c r="HW92" s="228"/>
      <c r="HX92" s="238"/>
      <c r="HY92" s="238"/>
      <c r="HZ92" s="386"/>
      <c r="IA92" s="386"/>
      <c r="IB92" s="386"/>
      <c r="IC92" s="386"/>
      <c r="ID92" s="386"/>
      <c r="IE92" s="386"/>
      <c r="IF92" s="180"/>
      <c r="IG92" s="219"/>
      <c r="IH92" s="219"/>
      <c r="II92" s="228"/>
      <c r="IJ92" s="228"/>
      <c r="IK92" s="228"/>
      <c r="IL92" s="228"/>
      <c r="IM92" s="228"/>
      <c r="IN92" s="238"/>
      <c r="IO92" s="238"/>
      <c r="IP92" s="386"/>
      <c r="IQ92" s="386"/>
      <c r="IR92" s="386"/>
      <c r="IS92" s="386"/>
      <c r="IT92" s="386"/>
      <c r="IU92" s="386"/>
    </row>
    <row r="93" spans="1:255" x14ac:dyDescent="0.2">
      <c r="A93" s="180"/>
      <c r="B93" s="237" t="s">
        <v>260</v>
      </c>
      <c r="C93" s="219"/>
      <c r="D93" s="219"/>
      <c r="E93" s="219"/>
      <c r="F93" s="219"/>
      <c r="G93" s="219"/>
      <c r="H93" s="219"/>
      <c r="I93" s="196"/>
      <c r="J93" s="196"/>
      <c r="K93" s="200"/>
      <c r="L93" s="230"/>
      <c r="M93" s="230"/>
      <c r="N93" s="230"/>
      <c r="O93" s="230"/>
      <c r="P93" s="201"/>
      <c r="R93" s="17" t="s">
        <v>124</v>
      </c>
      <c r="S93" s="17"/>
      <c r="T93" s="17"/>
      <c r="U93" s="17"/>
    </row>
    <row r="94" spans="1:255" x14ac:dyDescent="0.2">
      <c r="A94" s="180"/>
      <c r="B94" s="388" t="s">
        <v>9</v>
      </c>
      <c r="C94" s="219"/>
      <c r="D94" s="219"/>
      <c r="E94" s="219"/>
      <c r="F94" s="219"/>
      <c r="G94" s="219"/>
      <c r="H94" s="219"/>
      <c r="I94" s="196"/>
      <c r="J94" s="196"/>
      <c r="K94" s="200"/>
      <c r="L94" s="200">
        <f>IF($A$1&gt;1,ROUND(K94*$U$15,0),0)</f>
        <v>0</v>
      </c>
      <c r="M94" s="200">
        <f>IF($A$1&gt;2,ROUND(K94*$U$15^2,0),0)</f>
        <v>0</v>
      </c>
      <c r="N94" s="200">
        <f>IF($A$1&gt;3,ROUND(K94*$U$15^3,0),0)</f>
        <v>0</v>
      </c>
      <c r="O94" s="200">
        <f>IF($A$1&gt;4,ROUND(K94*$U$15^4,0),0)</f>
        <v>0</v>
      </c>
      <c r="P94" s="201">
        <f>SUM(K94:O94)</f>
        <v>0</v>
      </c>
      <c r="R94" s="1" t="s">
        <v>121</v>
      </c>
    </row>
    <row r="95" spans="1:255" x14ac:dyDescent="0.2">
      <c r="A95" s="180"/>
      <c r="B95" s="388" t="s">
        <v>10</v>
      </c>
      <c r="C95" s="219"/>
      <c r="D95" s="219"/>
      <c r="E95" s="219"/>
      <c r="F95" s="219"/>
      <c r="G95" s="219"/>
      <c r="H95" s="219"/>
      <c r="I95" s="196"/>
      <c r="J95" s="196"/>
      <c r="K95" s="200">
        <v>0</v>
      </c>
      <c r="L95" s="200">
        <f>IF($A$1&gt;1,ROUND(K95*$U$15,0),0)</f>
        <v>0</v>
      </c>
      <c r="M95" s="200">
        <f>IF($A$1&gt;2,ROUND(K95*$U$15^2,0),0)</f>
        <v>0</v>
      </c>
      <c r="N95" s="200">
        <f>IF($A$1&gt;3,ROUND(K95*$U$15^3,0),0)</f>
        <v>0</v>
      </c>
      <c r="O95" s="200">
        <f>IF($A$1&gt;4,ROUND(K95*$U$15^4,0),0)</f>
        <v>0</v>
      </c>
      <c r="P95" s="201">
        <f>SUM(K95:O95)</f>
        <v>0</v>
      </c>
      <c r="R95" s="1" t="s">
        <v>122</v>
      </c>
    </row>
    <row r="96" spans="1:255" x14ac:dyDescent="0.2">
      <c r="A96" s="180"/>
      <c r="B96" s="388" t="s">
        <v>11</v>
      </c>
      <c r="C96" s="219"/>
      <c r="D96" s="219"/>
      <c r="E96" s="219"/>
      <c r="F96" s="219"/>
      <c r="G96" s="219"/>
      <c r="H96" s="219"/>
      <c r="I96" s="196"/>
      <c r="J96" s="196"/>
      <c r="K96" s="200">
        <v>0</v>
      </c>
      <c r="L96" s="200">
        <f>IF($A$1&gt;1,ROUND(K96*$U$15,0),0)</f>
        <v>0</v>
      </c>
      <c r="M96" s="200">
        <f>IF($A$1&gt;2,ROUND(K96*$U$15^2,0),0)</f>
        <v>0</v>
      </c>
      <c r="N96" s="200">
        <f>IF($A$1&gt;3,ROUND(K96*$U$15^3,0),0)</f>
        <v>0</v>
      </c>
      <c r="O96" s="200">
        <f>IF($A$1&gt;4,ROUND(K96*$U$15^4,0),0)</f>
        <v>0</v>
      </c>
      <c r="P96" s="201">
        <f>SUM(K96:O96)</f>
        <v>0</v>
      </c>
      <c r="R96" s="1" t="s">
        <v>123</v>
      </c>
    </row>
    <row r="97" spans="1:21" x14ac:dyDescent="0.2">
      <c r="A97" s="180"/>
      <c r="B97" s="388" t="s">
        <v>12</v>
      </c>
      <c r="C97" s="219"/>
      <c r="D97" s="219"/>
      <c r="E97" s="219"/>
      <c r="F97" s="219"/>
      <c r="G97" s="219"/>
      <c r="H97" s="219"/>
      <c r="I97" s="196"/>
      <c r="J97" s="196"/>
      <c r="K97" s="200">
        <v>0</v>
      </c>
      <c r="L97" s="200">
        <f>IF($A$1&gt;1,ROUND(K97*$U$15,0),0)</f>
        <v>0</v>
      </c>
      <c r="M97" s="200">
        <f>IF($A$1&gt;2,ROUND(K97*$U$15^2,0),0)</f>
        <v>0</v>
      </c>
      <c r="N97" s="200">
        <f>IF($A$1&gt;3,ROUND(K97*$U$15^3,0),0)</f>
        <v>0</v>
      </c>
      <c r="O97" s="200">
        <f>IF($A$1&gt;4,ROUND(K97*$U$15^4,0),0)</f>
        <v>0</v>
      </c>
      <c r="P97" s="201">
        <f>SUM(K97:O97)</f>
        <v>0</v>
      </c>
      <c r="R97" s="17" t="s">
        <v>159</v>
      </c>
      <c r="S97" s="17"/>
      <c r="T97" s="17"/>
      <c r="U97" s="17"/>
    </row>
    <row r="98" spans="1:21" ht="13.5" x14ac:dyDescent="0.25">
      <c r="A98" s="180"/>
      <c r="B98" s="243"/>
      <c r="C98" s="243"/>
      <c r="D98" s="243"/>
      <c r="E98" s="260"/>
      <c r="F98" s="260"/>
      <c r="G98" s="260"/>
      <c r="H98" s="260"/>
      <c r="J98" s="238" t="s">
        <v>13</v>
      </c>
      <c r="K98" s="239">
        <f>SUM(K94:K97)</f>
        <v>0</v>
      </c>
      <c r="L98" s="239">
        <f>IF($A$1&gt;1,SUM(L94:L97),0)</f>
        <v>0</v>
      </c>
      <c r="M98" s="239">
        <f>IF($A$1&gt;2,SUM(M94:M97),0)</f>
        <v>0</v>
      </c>
      <c r="N98" s="239">
        <f>IF($A$1&gt;3,SUM(N94:N97),0)</f>
        <v>0</v>
      </c>
      <c r="O98" s="239">
        <f>IF($A$1&gt;4,SUM(O94:O97),0)</f>
        <v>0</v>
      </c>
      <c r="P98" s="242">
        <f>SUM(K98:O98)</f>
        <v>0</v>
      </c>
      <c r="R98" s="1" t="s">
        <v>160</v>
      </c>
    </row>
    <row r="99" spans="1:21" x14ac:dyDescent="0.2">
      <c r="A99" s="180"/>
      <c r="B99" s="196"/>
      <c r="C99" s="196"/>
      <c r="D99" s="196"/>
      <c r="E99" s="196"/>
      <c r="F99" s="196"/>
      <c r="G99" s="196"/>
      <c r="H99" s="196"/>
      <c r="I99" s="196"/>
      <c r="J99" s="196"/>
      <c r="K99" s="200"/>
      <c r="L99" s="200"/>
      <c r="M99" s="200"/>
      <c r="N99" s="200"/>
      <c r="O99" s="200"/>
      <c r="P99" s="201"/>
    </row>
    <row r="100" spans="1:21" x14ac:dyDescent="0.2">
      <c r="A100" s="180"/>
      <c r="B100" s="237" t="s">
        <v>261</v>
      </c>
      <c r="C100" s="237"/>
      <c r="D100" s="180"/>
      <c r="E100" s="180"/>
      <c r="F100" s="180"/>
      <c r="G100" s="180"/>
      <c r="H100" s="180"/>
      <c r="I100" s="180"/>
      <c r="J100" s="180"/>
      <c r="K100" s="200"/>
      <c r="L100" s="200"/>
      <c r="M100" s="200"/>
      <c r="N100" s="200"/>
      <c r="O100" s="200"/>
      <c r="P100" s="201"/>
    </row>
    <row r="101" spans="1:21" x14ac:dyDescent="0.2">
      <c r="A101" s="180"/>
      <c r="B101" s="237"/>
      <c r="C101" s="237"/>
      <c r="D101" s="180"/>
      <c r="E101" s="180"/>
      <c r="F101" s="180"/>
      <c r="G101" s="180"/>
      <c r="H101" s="180"/>
      <c r="I101" s="180"/>
      <c r="J101" s="180"/>
      <c r="K101" s="200"/>
      <c r="L101" s="200"/>
      <c r="M101" s="200"/>
      <c r="N101" s="200"/>
      <c r="O101" s="200"/>
      <c r="P101" s="201"/>
    </row>
    <row r="102" spans="1:21" x14ac:dyDescent="0.2">
      <c r="A102" s="180"/>
      <c r="B102" s="219" t="s">
        <v>262</v>
      </c>
      <c r="C102" s="237"/>
      <c r="D102" s="180"/>
      <c r="E102" s="180"/>
      <c r="F102" s="180"/>
      <c r="G102" s="180"/>
      <c r="H102" s="180"/>
      <c r="I102" s="196"/>
      <c r="J102" s="196"/>
      <c r="K102" s="200"/>
      <c r="L102" s="200"/>
      <c r="M102" s="200"/>
      <c r="N102" s="200"/>
      <c r="O102" s="200"/>
      <c r="P102" s="201"/>
    </row>
    <row r="103" spans="1:21" x14ac:dyDescent="0.2">
      <c r="A103" s="180"/>
      <c r="B103" s="180"/>
      <c r="C103" s="180"/>
      <c r="D103" s="180"/>
      <c r="E103" s="180"/>
      <c r="F103" s="180"/>
      <c r="G103" s="180"/>
      <c r="H103" s="180"/>
      <c r="I103" s="196"/>
      <c r="J103" s="196"/>
      <c r="K103" s="200"/>
      <c r="L103" s="200">
        <f>IF($A$1&gt;1,ROUND($K103*$U$15,0),0)</f>
        <v>0</v>
      </c>
      <c r="M103" s="200">
        <f>IF($A$1&gt;2,ROUND($K103*$U$15^2,0),0)</f>
        <v>0</v>
      </c>
      <c r="N103" s="200">
        <f>IF($A$1&gt;3,ROUND($K103*$U$15^3,0),0)</f>
        <v>0</v>
      </c>
      <c r="O103" s="200">
        <f>IF($A$1&gt;4,ROUND($K103*$U$15^4,0),0)</f>
        <v>0</v>
      </c>
      <c r="P103" s="201">
        <f>SUM(K103:O103)</f>
        <v>0</v>
      </c>
      <c r="R103" s="15"/>
      <c r="S103" s="15"/>
    </row>
    <row r="104" spans="1:21" x14ac:dyDescent="0.2">
      <c r="A104" s="180"/>
      <c r="B104" s="180"/>
      <c r="C104" s="180"/>
      <c r="D104" s="180"/>
      <c r="E104" s="180"/>
      <c r="F104" s="180"/>
      <c r="G104" s="180"/>
      <c r="H104" s="180"/>
      <c r="I104" s="196"/>
      <c r="J104" s="196"/>
      <c r="K104" s="200">
        <v>0</v>
      </c>
      <c r="L104" s="200">
        <f>IF($A$1&gt;1,ROUND($K104*$U$15,0),0)</f>
        <v>0</v>
      </c>
      <c r="M104" s="200">
        <f>IF($A$1&gt;2,ROUND($K104*$U$15^2,0),0)</f>
        <v>0</v>
      </c>
      <c r="N104" s="200">
        <f>IF($A$1&gt;3,ROUND($K104*$U$15^3,0),0)</f>
        <v>0</v>
      </c>
      <c r="O104" s="200">
        <f>IF($A$1&gt;4,ROUND($K104*$U$15^4,0),0)</f>
        <v>0</v>
      </c>
      <c r="P104" s="201">
        <f>SUM(K104:O104)</f>
        <v>0</v>
      </c>
      <c r="R104" s="16"/>
      <c r="S104" s="16"/>
    </row>
    <row r="105" spans="1:21" x14ac:dyDescent="0.2">
      <c r="A105" s="180"/>
      <c r="B105" s="180"/>
      <c r="C105" s="196"/>
      <c r="D105" s="180"/>
      <c r="E105" s="180"/>
      <c r="F105" s="180"/>
      <c r="G105" s="180"/>
      <c r="H105" s="180"/>
      <c r="I105" s="196"/>
      <c r="J105" s="196"/>
      <c r="K105" s="200">
        <v>0</v>
      </c>
      <c r="L105" s="200">
        <f>IF($A$1&gt;1,ROUND($K105*$U$15,0),0)</f>
        <v>0</v>
      </c>
      <c r="M105" s="200">
        <f>IF($A$1&gt;2,ROUND($K105*$U$15^2,0),0)</f>
        <v>0</v>
      </c>
      <c r="N105" s="200">
        <f>IF($A$1&gt;3,ROUND($K105*$U$15^3,0),0)</f>
        <v>0</v>
      </c>
      <c r="O105" s="200">
        <f>IF($A$1&gt;4,ROUND($K105*$U$15^4,0),0)</f>
        <v>0</v>
      </c>
      <c r="P105" s="201">
        <f>SUM(K105:O105)</f>
        <v>0</v>
      </c>
    </row>
    <row r="106" spans="1:21" x14ac:dyDescent="0.2">
      <c r="A106" s="180"/>
      <c r="B106" s="196"/>
      <c r="C106" s="196"/>
      <c r="D106" s="180"/>
      <c r="E106" s="180"/>
      <c r="F106" s="180"/>
      <c r="G106" s="180"/>
      <c r="H106" s="180"/>
      <c r="I106" s="196"/>
      <c r="J106" s="196"/>
      <c r="K106" s="224">
        <v>0</v>
      </c>
      <c r="L106" s="224">
        <f>IF($A$1&gt;1,ROUND($K106*$U$15,0),0)</f>
        <v>0</v>
      </c>
      <c r="M106" s="224">
        <f>IF($A$1&gt;2,ROUND($K106*$U$15^2,0),0)</f>
        <v>0</v>
      </c>
      <c r="N106" s="224">
        <f>IF($A$1&gt;3,ROUND($K106*$U$15^3,0),0)</f>
        <v>0</v>
      </c>
      <c r="O106" s="224">
        <f>IF($A$1&gt;4,ROUND($K106*$U$15^4,0),0)</f>
        <v>0</v>
      </c>
      <c r="P106" s="225">
        <f>SUM(K106:O106)</f>
        <v>0</v>
      </c>
      <c r="R106" s="135"/>
    </row>
    <row r="107" spans="1:21" ht="13.5" x14ac:dyDescent="0.25">
      <c r="A107" s="180"/>
      <c r="B107" s="180"/>
      <c r="C107" s="180"/>
      <c r="D107" s="180"/>
      <c r="E107" s="180"/>
      <c r="F107" s="180"/>
      <c r="G107" s="184"/>
      <c r="H107" s="184"/>
      <c r="I107" s="238"/>
      <c r="J107" s="238" t="s">
        <v>21</v>
      </c>
      <c r="K107" s="239">
        <f>SUM(K102:K106)</f>
        <v>0</v>
      </c>
      <c r="L107" s="239">
        <f>IF($A$1&gt;1,SUM(L102:L106),0)</f>
        <v>0</v>
      </c>
      <c r="M107" s="239">
        <f>IF($A$1&gt;2,SUM(M102:M106),0)</f>
        <v>0</v>
      </c>
      <c r="N107" s="239">
        <f>IF($A$1&gt;3,SUM(N102:N106),0)</f>
        <v>0</v>
      </c>
      <c r="O107" s="240">
        <f>IF($A$1&gt;4,SUM(O102:O106),0)</f>
        <v>0</v>
      </c>
      <c r="P107" s="242">
        <f>SUM(K107:O107)</f>
        <v>0</v>
      </c>
      <c r="S107" s="135"/>
    </row>
    <row r="108" spans="1:21" ht="13.5" x14ac:dyDescent="0.25">
      <c r="A108" s="180"/>
      <c r="B108" s="219"/>
      <c r="C108" s="219"/>
      <c r="D108" s="228"/>
      <c r="E108" s="228"/>
      <c r="F108" s="228"/>
      <c r="G108" s="228"/>
      <c r="H108" s="228"/>
      <c r="I108" s="238"/>
      <c r="J108" s="238"/>
      <c r="K108" s="386"/>
      <c r="L108" s="386"/>
      <c r="M108" s="386"/>
      <c r="N108" s="386"/>
      <c r="O108" s="386"/>
      <c r="P108" s="241"/>
      <c r="R108" s="4"/>
    </row>
    <row r="109" spans="1:21" ht="13.5" x14ac:dyDescent="0.25">
      <c r="A109" s="180"/>
      <c r="B109" s="180" t="s">
        <v>263</v>
      </c>
      <c r="C109" s="180"/>
      <c r="D109" s="180"/>
      <c r="E109" s="180"/>
      <c r="F109" s="180"/>
      <c r="G109" s="184"/>
      <c r="H109" s="184"/>
      <c r="I109" s="238"/>
      <c r="J109" s="238"/>
      <c r="K109" s="386"/>
      <c r="L109" s="386"/>
      <c r="M109" s="386"/>
      <c r="N109" s="386"/>
      <c r="O109" s="386"/>
      <c r="P109" s="241"/>
      <c r="R109" s="4"/>
    </row>
    <row r="110" spans="1:21" ht="13.5" x14ac:dyDescent="0.25">
      <c r="A110" s="180"/>
      <c r="B110" s="180"/>
      <c r="C110" s="180"/>
      <c r="D110" s="180"/>
      <c r="E110" s="180"/>
      <c r="F110" s="180"/>
      <c r="G110" s="184"/>
      <c r="H110" s="184"/>
      <c r="I110" s="238"/>
      <c r="J110" s="238"/>
      <c r="K110" s="224"/>
      <c r="L110" s="224">
        <f>IF($A$1&gt;1,ROUND($K110*$U$15,0),0)</f>
        <v>0</v>
      </c>
      <c r="M110" s="224">
        <f>IF($A$1&gt;2,ROUND($K110*$U$15^2,0),0)</f>
        <v>0</v>
      </c>
      <c r="N110" s="224">
        <f>IF($A$1&gt;3,ROUND($K110*$U$15^3,0),0)</f>
        <v>0</v>
      </c>
      <c r="O110" s="224">
        <f>IF($A$1&gt;4,ROUND($K110*$U$15^4,0),0)</f>
        <v>0</v>
      </c>
      <c r="P110" s="225">
        <f>SUM(K110:O110)</f>
        <v>0</v>
      </c>
    </row>
    <row r="111" spans="1:21" ht="13.5" x14ac:dyDescent="0.25">
      <c r="A111" s="180"/>
      <c r="B111" s="180"/>
      <c r="C111" s="180"/>
      <c r="D111" s="180"/>
      <c r="E111" s="180"/>
      <c r="F111" s="180"/>
      <c r="G111" s="184"/>
      <c r="H111" s="184"/>
      <c r="J111" s="238" t="s">
        <v>264</v>
      </c>
      <c r="K111" s="239">
        <f>SUM(K110)</f>
        <v>0</v>
      </c>
      <c r="L111" s="239">
        <f>SUM(L110)</f>
        <v>0</v>
      </c>
      <c r="M111" s="239">
        <f>SUM(M110)</f>
        <v>0</v>
      </c>
      <c r="N111" s="239">
        <f>SUM(N110)</f>
        <v>0</v>
      </c>
      <c r="O111" s="239">
        <f>SUM(O110)</f>
        <v>0</v>
      </c>
      <c r="P111" s="242">
        <f>SUM(K111:O111)</f>
        <v>0</v>
      </c>
      <c r="R111" s="135"/>
      <c r="S111" s="135"/>
    </row>
    <row r="112" spans="1:21" ht="13.5" x14ac:dyDescent="0.25">
      <c r="A112" s="180"/>
      <c r="B112" s="180"/>
      <c r="C112" s="180"/>
      <c r="D112" s="180"/>
      <c r="E112" s="180"/>
      <c r="F112" s="180"/>
      <c r="G112" s="184"/>
      <c r="H112" s="184"/>
      <c r="J112" s="238"/>
      <c r="K112" s="386"/>
      <c r="L112" s="386"/>
      <c r="M112" s="386"/>
      <c r="N112" s="386"/>
      <c r="O112" s="386"/>
      <c r="P112" s="241"/>
      <c r="S112" s="135"/>
    </row>
    <row r="113" spans="1:19" ht="13.5" x14ac:dyDescent="0.25">
      <c r="A113" s="180"/>
      <c r="B113" s="180" t="s">
        <v>265</v>
      </c>
      <c r="C113" s="180"/>
      <c r="D113" s="180"/>
      <c r="E113" s="180"/>
      <c r="F113" s="180"/>
      <c r="G113" s="184"/>
      <c r="H113" s="184"/>
      <c r="I113" s="238"/>
      <c r="J113" s="238"/>
      <c r="K113" s="386"/>
      <c r="L113" s="386"/>
      <c r="M113" s="386"/>
      <c r="N113" s="386"/>
      <c r="O113" s="386"/>
      <c r="P113" s="241"/>
      <c r="R113" s="4"/>
    </row>
    <row r="114" spans="1:19" ht="13.5" x14ac:dyDescent="0.25">
      <c r="A114" s="180"/>
      <c r="B114" s="180"/>
      <c r="C114" s="180"/>
      <c r="D114" s="180"/>
      <c r="E114" s="180"/>
      <c r="F114" s="180"/>
      <c r="G114" s="184"/>
      <c r="H114" s="184"/>
      <c r="I114" s="238"/>
      <c r="J114" s="238"/>
      <c r="K114" s="208"/>
      <c r="L114" s="208">
        <f>IF($A$1&gt;1,ROUND($K114*$U$15,0),0)</f>
        <v>0</v>
      </c>
      <c r="M114" s="208">
        <f>IF($A$1&gt;2,ROUND($K114*$U$15^2,0),0)</f>
        <v>0</v>
      </c>
      <c r="N114" s="208">
        <f>IF($A$1&gt;3,ROUND($K114*$U$15^3,0),0)</f>
        <v>0</v>
      </c>
      <c r="O114" s="208">
        <f>IF($A$1&gt;4,ROUND($K114*$U$15^4,0),0)</f>
        <v>0</v>
      </c>
      <c r="P114" s="241">
        <f>SUM(K114:O114)</f>
        <v>0</v>
      </c>
    </row>
    <row r="115" spans="1:19" ht="13.5" x14ac:dyDescent="0.25">
      <c r="A115" s="180"/>
      <c r="B115" s="180"/>
      <c r="C115" s="180"/>
      <c r="D115" s="180"/>
      <c r="E115" s="180"/>
      <c r="F115" s="180"/>
      <c r="G115" s="184"/>
      <c r="H115" s="184"/>
      <c r="I115" s="238"/>
      <c r="J115" s="238"/>
      <c r="K115" s="224">
        <v>0</v>
      </c>
      <c r="L115" s="224">
        <f>IF($A$1&gt;1,ROUND($K115*$U$15,0),0)</f>
        <v>0</v>
      </c>
      <c r="M115" s="224">
        <f>IF($A$1&gt;2,ROUND($K115*$U$15^2,0),0)</f>
        <v>0</v>
      </c>
      <c r="N115" s="224">
        <f>IF($A$1&gt;3,ROUND($K115*$U$15^3,0),0)</f>
        <v>0</v>
      </c>
      <c r="O115" s="224">
        <f>IF($A$1&gt;4,ROUND($K115*$U$15^4,0),0)</f>
        <v>0</v>
      </c>
      <c r="P115" s="225">
        <f>SUM(K115:O115)</f>
        <v>0</v>
      </c>
      <c r="R115" s="135"/>
      <c r="S115" s="135"/>
    </row>
    <row r="116" spans="1:19" ht="13.5" x14ac:dyDescent="0.25">
      <c r="A116" s="180"/>
      <c r="B116" s="180"/>
      <c r="C116" s="180"/>
      <c r="D116" s="180"/>
      <c r="E116" s="180"/>
      <c r="F116" s="180"/>
      <c r="G116" s="184"/>
      <c r="H116" s="184"/>
      <c r="I116" s="238"/>
      <c r="J116" s="238" t="s">
        <v>266</v>
      </c>
      <c r="K116" s="239">
        <f>SUM(K114:K115)</f>
        <v>0</v>
      </c>
      <c r="L116" s="239">
        <f>SUM(L114:L115)</f>
        <v>0</v>
      </c>
      <c r="M116" s="239">
        <f>SUM(M114:M115)</f>
        <v>0</v>
      </c>
      <c r="N116" s="239">
        <f>SUM(N114:N115)</f>
        <v>0</v>
      </c>
      <c r="O116" s="239">
        <f>SUM(O114:O115)</f>
        <v>0</v>
      </c>
      <c r="P116" s="242">
        <f>SUM(K116:O116)</f>
        <v>0</v>
      </c>
      <c r="S116" s="135"/>
    </row>
    <row r="117" spans="1:19" ht="13.5" x14ac:dyDescent="0.25">
      <c r="A117" s="180"/>
      <c r="B117" s="180"/>
      <c r="C117" s="180"/>
      <c r="D117" s="180"/>
      <c r="E117" s="180"/>
      <c r="F117" s="180"/>
      <c r="G117" s="184"/>
      <c r="H117" s="184"/>
      <c r="I117" s="238"/>
      <c r="J117" s="238"/>
      <c r="K117" s="386"/>
      <c r="L117" s="386"/>
      <c r="M117" s="386"/>
      <c r="N117" s="386"/>
      <c r="O117" s="386"/>
      <c r="P117" s="241"/>
      <c r="R117" s="4"/>
    </row>
    <row r="118" spans="1:19" ht="13.5" x14ac:dyDescent="0.25">
      <c r="A118" s="180"/>
      <c r="B118" s="180" t="s">
        <v>267</v>
      </c>
      <c r="C118" s="180"/>
      <c r="D118" s="180"/>
      <c r="E118" s="180"/>
      <c r="F118" s="180"/>
      <c r="G118" s="184"/>
      <c r="H118" s="184"/>
      <c r="I118" s="238"/>
      <c r="J118" s="238"/>
      <c r="K118" s="386"/>
      <c r="L118" s="386"/>
      <c r="M118" s="386"/>
      <c r="N118" s="386"/>
      <c r="O118" s="386"/>
      <c r="P118" s="241"/>
    </row>
    <row r="119" spans="1:19" ht="13.5" x14ac:dyDescent="0.25">
      <c r="A119" s="180"/>
      <c r="B119" s="180"/>
      <c r="C119" s="180"/>
      <c r="D119" s="180"/>
      <c r="E119" s="180"/>
      <c r="F119" s="180"/>
      <c r="G119" s="184"/>
      <c r="H119" s="184"/>
      <c r="I119" s="238"/>
      <c r="J119" s="238"/>
      <c r="K119" s="224"/>
      <c r="L119" s="224">
        <f>IF($A$1&gt;1,ROUND($K119*$U$15,0),0)</f>
        <v>0</v>
      </c>
      <c r="M119" s="224">
        <f>IF($A$1&gt;2,ROUND($K119*$U$15^2,0),0)</f>
        <v>0</v>
      </c>
      <c r="N119" s="224">
        <f>IF($A$1&gt;3,ROUND($K119*$U$15^3,0),0)</f>
        <v>0</v>
      </c>
      <c r="O119" s="224">
        <f>IF($A$1&gt;4,ROUND($K119*$U$15^4,0),0)</f>
        <v>0</v>
      </c>
      <c r="P119" s="225">
        <f>SUM(K119:O119)</f>
        <v>0</v>
      </c>
      <c r="R119" s="135"/>
    </row>
    <row r="120" spans="1:19" ht="13.5" x14ac:dyDescent="0.25">
      <c r="A120" s="180"/>
      <c r="B120" s="180"/>
      <c r="C120" s="180"/>
      <c r="D120" s="180"/>
      <c r="E120" s="180"/>
      <c r="F120" s="180"/>
      <c r="G120" s="184"/>
      <c r="H120" s="184"/>
      <c r="I120" s="238"/>
      <c r="J120" s="238" t="s">
        <v>268</v>
      </c>
      <c r="K120" s="239">
        <f>SUM(K119)</f>
        <v>0</v>
      </c>
      <c r="L120" s="239">
        <f>SUM(L119)</f>
        <v>0</v>
      </c>
      <c r="M120" s="239">
        <f>SUM(M119)</f>
        <v>0</v>
      </c>
      <c r="N120" s="239">
        <f>SUM(N119)</f>
        <v>0</v>
      </c>
      <c r="O120" s="239">
        <f>SUM(O119)</f>
        <v>0</v>
      </c>
      <c r="P120" s="242">
        <f>SUM(K120:O120)</f>
        <v>0</v>
      </c>
      <c r="S120" s="135"/>
    </row>
    <row r="121" spans="1:19" ht="13.5" x14ac:dyDescent="0.25">
      <c r="A121" s="180"/>
      <c r="B121" s="219"/>
      <c r="C121" s="219"/>
      <c r="D121" s="228"/>
      <c r="E121" s="228"/>
      <c r="F121" s="228"/>
      <c r="G121" s="228"/>
      <c r="H121" s="228"/>
      <c r="I121" s="238"/>
      <c r="J121" s="238"/>
      <c r="K121" s="386"/>
      <c r="L121" s="386"/>
      <c r="M121" s="386"/>
      <c r="N121" s="386"/>
      <c r="O121" s="386"/>
      <c r="P121" s="241"/>
      <c r="S121" s="3"/>
    </row>
    <row r="122" spans="1:19" ht="13.5" x14ac:dyDescent="0.25">
      <c r="A122" s="180"/>
      <c r="B122" s="219"/>
      <c r="C122" s="219"/>
      <c r="D122" s="228"/>
      <c r="E122" s="228"/>
      <c r="F122" s="228"/>
      <c r="G122" s="228"/>
      <c r="H122" s="228"/>
      <c r="I122" s="238"/>
      <c r="J122" s="238"/>
      <c r="K122" s="386"/>
      <c r="L122" s="386"/>
      <c r="M122" s="386"/>
      <c r="N122" s="386"/>
      <c r="O122" s="386"/>
      <c r="P122" s="241"/>
      <c r="Q122" s="15" t="s">
        <v>26</v>
      </c>
      <c r="S122" s="3"/>
    </row>
    <row r="123" spans="1:19" x14ac:dyDescent="0.2">
      <c r="A123" s="180"/>
      <c r="B123" s="228"/>
      <c r="C123" s="228"/>
      <c r="D123" s="228"/>
      <c r="E123" s="228"/>
      <c r="F123" s="228"/>
      <c r="G123" s="228"/>
      <c r="H123" s="228"/>
      <c r="I123" s="196"/>
      <c r="J123" s="196"/>
      <c r="K123" s="200"/>
      <c r="L123" s="230"/>
      <c r="M123" s="230"/>
      <c r="N123" s="230"/>
      <c r="O123" s="230"/>
      <c r="P123" s="201"/>
      <c r="Q123" s="16" t="s">
        <v>27</v>
      </c>
    </row>
    <row r="124" spans="1:19" x14ac:dyDescent="0.2">
      <c r="A124" s="180"/>
      <c r="B124" s="219" t="s">
        <v>277</v>
      </c>
      <c r="C124" s="237"/>
      <c r="D124" s="219"/>
      <c r="E124" s="219"/>
      <c r="F124" s="219"/>
      <c r="G124" s="219"/>
      <c r="H124" s="219"/>
      <c r="I124" s="196"/>
      <c r="J124" s="196"/>
      <c r="K124" s="200"/>
      <c r="L124" s="230"/>
      <c r="M124" s="230"/>
      <c r="N124" s="230"/>
      <c r="O124" s="230"/>
      <c r="P124" s="201"/>
    </row>
    <row r="125" spans="1:19" x14ac:dyDescent="0.2">
      <c r="A125" s="180"/>
      <c r="B125" s="219" t="s">
        <v>255</v>
      </c>
      <c r="C125" s="219"/>
      <c r="D125" s="219"/>
      <c r="E125" s="219"/>
      <c r="F125" s="219"/>
      <c r="G125" s="219"/>
      <c r="H125" s="219"/>
      <c r="I125" s="196" t="s">
        <v>53</v>
      </c>
      <c r="J125" s="196"/>
      <c r="K125" s="244"/>
      <c r="L125" s="244"/>
      <c r="M125" s="244"/>
      <c r="N125" s="244"/>
      <c r="O125" s="244"/>
      <c r="P125" s="207">
        <f t="shared" ref="P125:P141" si="25">SUM(K125:O125)</f>
        <v>0</v>
      </c>
    </row>
    <row r="126" spans="1:19" x14ac:dyDescent="0.2">
      <c r="A126" s="180"/>
      <c r="B126" s="219"/>
      <c r="C126" s="219"/>
      <c r="D126" s="219"/>
      <c r="E126" s="219"/>
      <c r="F126" s="219"/>
      <c r="G126" s="219"/>
      <c r="H126" s="219"/>
      <c r="I126" s="196" t="s">
        <v>23</v>
      </c>
      <c r="J126" s="196"/>
      <c r="K126" s="244"/>
      <c r="L126" s="244"/>
      <c r="M126" s="244"/>
      <c r="N126" s="244"/>
      <c r="O126" s="244"/>
      <c r="P126" s="207">
        <f t="shared" si="25"/>
        <v>0</v>
      </c>
      <c r="Q126" s="22">
        <f>SUM(P125:P126)</f>
        <v>0</v>
      </c>
    </row>
    <row r="127" spans="1:19" x14ac:dyDescent="0.2">
      <c r="A127" s="180"/>
      <c r="B127" s="245"/>
      <c r="C127" s="245"/>
      <c r="D127" s="245"/>
      <c r="E127" s="245"/>
      <c r="F127" s="245"/>
      <c r="G127" s="245"/>
      <c r="H127" s="245"/>
      <c r="I127" s="246" t="s">
        <v>132</v>
      </c>
      <c r="J127" s="246"/>
      <c r="K127" s="222"/>
      <c r="L127" s="222"/>
      <c r="M127" s="222"/>
      <c r="N127" s="222"/>
      <c r="O127" s="222"/>
      <c r="P127" s="247">
        <f>SUM(K127:O127)</f>
        <v>0</v>
      </c>
    </row>
    <row r="128" spans="1:19" ht="13.5" thickBot="1" x14ac:dyDescent="0.25">
      <c r="A128" s="180" t="s">
        <v>30</v>
      </c>
      <c r="B128" s="245"/>
      <c r="C128" s="245"/>
      <c r="D128" s="245"/>
      <c r="E128" s="245"/>
      <c r="F128" s="245"/>
      <c r="G128" s="245"/>
      <c r="H128" s="245"/>
      <c r="I128" s="246" t="s">
        <v>133</v>
      </c>
      <c r="J128" s="246"/>
      <c r="K128" s="222"/>
      <c r="L128" s="222"/>
      <c r="M128" s="222"/>
      <c r="N128" s="222"/>
      <c r="O128" s="222"/>
      <c r="P128" s="247">
        <f>SUM(K128:O128)</f>
        <v>0</v>
      </c>
      <c r="Q128" s="22"/>
    </row>
    <row r="129" spans="1:23" x14ac:dyDescent="0.2">
      <c r="A129" s="180"/>
      <c r="B129" s="248" t="s">
        <v>256</v>
      </c>
      <c r="C129" s="248"/>
      <c r="D129" s="248"/>
      <c r="E129" s="248"/>
      <c r="F129" s="248"/>
      <c r="G129" s="248"/>
      <c r="H129" s="248"/>
      <c r="I129" s="249" t="s">
        <v>53</v>
      </c>
      <c r="J129" s="249"/>
      <c r="K129" s="250"/>
      <c r="L129" s="250"/>
      <c r="M129" s="250"/>
      <c r="N129" s="250"/>
      <c r="O129" s="250"/>
      <c r="P129" s="251">
        <f t="shared" si="25"/>
        <v>0</v>
      </c>
      <c r="Q129" s="22"/>
    </row>
    <row r="130" spans="1:23" x14ac:dyDescent="0.2">
      <c r="A130" s="180"/>
      <c r="B130" s="219"/>
      <c r="C130" s="219"/>
      <c r="D130" s="219"/>
      <c r="E130" s="219"/>
      <c r="F130" s="219"/>
      <c r="G130" s="219"/>
      <c r="H130" s="219"/>
      <c r="I130" s="196" t="s">
        <v>23</v>
      </c>
      <c r="J130" s="196"/>
      <c r="K130" s="244"/>
      <c r="L130" s="244"/>
      <c r="M130" s="244"/>
      <c r="N130" s="244"/>
      <c r="O130" s="244"/>
      <c r="P130" s="207">
        <f t="shared" si="25"/>
        <v>0</v>
      </c>
      <c r="Q130" s="22">
        <f>SUM(P129:P130)</f>
        <v>0</v>
      </c>
      <c r="T130" s="1" t="s">
        <v>30</v>
      </c>
    </row>
    <row r="131" spans="1:23" x14ac:dyDescent="0.2">
      <c r="A131" s="180"/>
      <c r="B131" s="245"/>
      <c r="C131" s="245"/>
      <c r="D131" s="245"/>
      <c r="E131" s="245"/>
      <c r="F131" s="245"/>
      <c r="G131" s="245"/>
      <c r="H131" s="245"/>
      <c r="I131" s="246" t="s">
        <v>134</v>
      </c>
      <c r="J131" s="246"/>
      <c r="K131" s="222"/>
      <c r="L131" s="222"/>
      <c r="M131" s="222"/>
      <c r="N131" s="222"/>
      <c r="O131" s="222"/>
      <c r="P131" s="247">
        <f>SUM(K131:O131)</f>
        <v>0</v>
      </c>
    </row>
    <row r="132" spans="1:23" ht="13.5" thickBot="1" x14ac:dyDescent="0.25">
      <c r="A132" s="180"/>
      <c r="B132" s="245"/>
      <c r="C132" s="245"/>
      <c r="D132" s="245"/>
      <c r="E132" s="245"/>
      <c r="F132" s="245"/>
      <c r="G132" s="245"/>
      <c r="H132" s="245"/>
      <c r="I132" s="246" t="s">
        <v>135</v>
      </c>
      <c r="J132" s="246"/>
      <c r="K132" s="222"/>
      <c r="L132" s="222"/>
      <c r="M132" s="222"/>
      <c r="N132" s="222"/>
      <c r="O132" s="222"/>
      <c r="P132" s="247">
        <f>SUM(K132:O132)</f>
        <v>0</v>
      </c>
      <c r="Q132" s="22"/>
    </row>
    <row r="133" spans="1:23" x14ac:dyDescent="0.2">
      <c r="A133" s="180"/>
      <c r="B133" s="248" t="s">
        <v>257</v>
      </c>
      <c r="C133" s="248"/>
      <c r="D133" s="248"/>
      <c r="E133" s="248"/>
      <c r="F133" s="248"/>
      <c r="G133" s="248"/>
      <c r="H133" s="248"/>
      <c r="I133" s="249" t="s">
        <v>53</v>
      </c>
      <c r="J133" s="249"/>
      <c r="K133" s="250"/>
      <c r="L133" s="250"/>
      <c r="M133" s="250"/>
      <c r="N133" s="250"/>
      <c r="O133" s="250"/>
      <c r="P133" s="251">
        <f t="shared" si="25"/>
        <v>0</v>
      </c>
      <c r="Q133" s="22"/>
    </row>
    <row r="134" spans="1:23" x14ac:dyDescent="0.2">
      <c r="A134" s="180"/>
      <c r="B134" s="219"/>
      <c r="C134" s="219"/>
      <c r="D134" s="219"/>
      <c r="E134" s="219"/>
      <c r="F134" s="219"/>
      <c r="G134" s="219"/>
      <c r="H134" s="219"/>
      <c r="I134" s="196" t="s">
        <v>23</v>
      </c>
      <c r="J134" s="196"/>
      <c r="K134" s="244"/>
      <c r="L134" s="244"/>
      <c r="M134" s="244"/>
      <c r="N134" s="244"/>
      <c r="O134" s="244"/>
      <c r="P134" s="207">
        <f t="shared" si="25"/>
        <v>0</v>
      </c>
      <c r="Q134" s="22">
        <f>SUM(P133:P134)</f>
        <v>0</v>
      </c>
    </row>
    <row r="135" spans="1:23" x14ac:dyDescent="0.2">
      <c r="A135" s="180"/>
      <c r="B135" s="245"/>
      <c r="C135" s="245"/>
      <c r="D135" s="245"/>
      <c r="E135" s="245"/>
      <c r="F135" s="245"/>
      <c r="G135" s="245"/>
      <c r="H135" s="245"/>
      <c r="I135" s="246" t="s">
        <v>137</v>
      </c>
      <c r="J135" s="246"/>
      <c r="K135" s="222"/>
      <c r="L135" s="222"/>
      <c r="M135" s="222"/>
      <c r="N135" s="222"/>
      <c r="O135" s="222"/>
      <c r="P135" s="247">
        <f>SUM(K135:O135)</f>
        <v>0</v>
      </c>
    </row>
    <row r="136" spans="1:23" ht="13.5" thickBot="1" x14ac:dyDescent="0.25">
      <c r="A136" s="180"/>
      <c r="B136" s="245"/>
      <c r="C136" s="245"/>
      <c r="D136" s="245"/>
      <c r="E136" s="245"/>
      <c r="F136" s="245"/>
      <c r="G136" s="245"/>
      <c r="H136" s="245"/>
      <c r="I136" s="246" t="s">
        <v>136</v>
      </c>
      <c r="J136" s="246"/>
      <c r="K136" s="222"/>
      <c r="L136" s="222"/>
      <c r="M136" s="222"/>
      <c r="N136" s="222"/>
      <c r="O136" s="222"/>
      <c r="P136" s="247">
        <f>SUM(K136:O136)</f>
        <v>0</v>
      </c>
      <c r="Q136" s="22"/>
    </row>
    <row r="137" spans="1:23" x14ac:dyDescent="0.2">
      <c r="A137" s="180"/>
      <c r="B137" s="252"/>
      <c r="C137" s="252"/>
      <c r="D137" s="253" t="s">
        <v>24</v>
      </c>
      <c r="E137" s="253"/>
      <c r="F137" s="253"/>
      <c r="G137" s="253"/>
      <c r="H137" s="253"/>
      <c r="I137" s="253" t="s">
        <v>54</v>
      </c>
      <c r="J137" s="253"/>
      <c r="K137" s="254">
        <f>K125+K129+K133</f>
        <v>0</v>
      </c>
      <c r="L137" s="254">
        <f>IF($A$1&gt;1,L125+L129+L133,0)</f>
        <v>0</v>
      </c>
      <c r="M137" s="254">
        <f>IF($A$1&gt;2,M125+M129+M133,0)</f>
        <v>0</v>
      </c>
      <c r="N137" s="254">
        <f>IF($A$1&gt;3,N125+N129+N133,0)</f>
        <v>0</v>
      </c>
      <c r="O137" s="254">
        <f>IF($A$1&gt;4,O125+O129+O133,0)</f>
        <v>0</v>
      </c>
      <c r="P137" s="255">
        <f>SUM(K137:O137)</f>
        <v>0</v>
      </c>
      <c r="Q137" s="22"/>
      <c r="S137" s="90"/>
      <c r="T137" s="90"/>
      <c r="U137" s="90"/>
      <c r="V137" s="90"/>
      <c r="W137" s="90"/>
    </row>
    <row r="138" spans="1:23" s="17" customFormat="1" x14ac:dyDescent="0.2">
      <c r="A138" s="180"/>
      <c r="B138" s="256"/>
      <c r="C138" s="256"/>
      <c r="D138" s="257" t="s">
        <v>24</v>
      </c>
      <c r="E138" s="257"/>
      <c r="F138" s="257"/>
      <c r="G138" s="257"/>
      <c r="H138" s="257"/>
      <c r="I138" s="257" t="s">
        <v>25</v>
      </c>
      <c r="J138" s="257"/>
      <c r="K138" s="224">
        <f>K126+K130+K134</f>
        <v>0</v>
      </c>
      <c r="L138" s="224">
        <f>IF($A$1&gt;1,L126+L130+L134,0)</f>
        <v>0</v>
      </c>
      <c r="M138" s="224">
        <f>IF($A$1&gt;2,M126+M130+M134,0)</f>
        <v>0</v>
      </c>
      <c r="N138" s="224">
        <f>IF($A$1&gt;3,N126+N130+N134,0)</f>
        <v>0</v>
      </c>
      <c r="O138" s="224">
        <f>IF($A$1&gt;4,O126+O130+O134,0)</f>
        <v>0</v>
      </c>
      <c r="P138" s="258">
        <f t="shared" si="25"/>
        <v>0</v>
      </c>
      <c r="Q138" s="23">
        <f>SUM(P137:P138)</f>
        <v>0</v>
      </c>
      <c r="S138" s="90"/>
      <c r="T138" s="90"/>
      <c r="U138" s="90"/>
      <c r="V138" s="90"/>
      <c r="W138" s="90"/>
    </row>
    <row r="139" spans="1:23" x14ac:dyDescent="0.2">
      <c r="A139" s="180"/>
      <c r="B139" s="245"/>
      <c r="C139" s="245"/>
      <c r="D139" s="245"/>
      <c r="E139" s="245"/>
      <c r="F139" s="245"/>
      <c r="G139" s="245"/>
      <c r="H139" s="245"/>
      <c r="I139" s="246" t="s">
        <v>138</v>
      </c>
      <c r="J139" s="246"/>
      <c r="K139" s="222">
        <f>+K127+K131+K135</f>
        <v>0</v>
      </c>
      <c r="L139" s="222">
        <f>IF($A$1&gt;1,L127+L131+L135,0)</f>
        <v>0</v>
      </c>
      <c r="M139" s="222">
        <f>IF($A$1&gt;2,M127+M131+M135,0)</f>
        <v>0</v>
      </c>
      <c r="N139" s="222">
        <f>IF($A$1&gt;3,N127+N131+N135,0)</f>
        <v>0</v>
      </c>
      <c r="O139" s="222">
        <f>IF($A$1&gt;4,O127+O131+O135,0)</f>
        <v>0</v>
      </c>
      <c r="P139" s="247">
        <f>SUM(K139:O139)</f>
        <v>0</v>
      </c>
      <c r="S139" s="397"/>
      <c r="T139" s="397"/>
      <c r="U139" s="397"/>
      <c r="V139" s="397"/>
      <c r="W139" s="397"/>
    </row>
    <row r="140" spans="1:23" x14ac:dyDescent="0.2">
      <c r="A140" s="180"/>
      <c r="B140" s="245"/>
      <c r="C140" s="245"/>
      <c r="D140" s="245"/>
      <c r="E140" s="245"/>
      <c r="F140" s="245"/>
      <c r="G140" s="245"/>
      <c r="H140" s="245"/>
      <c r="I140" s="246" t="s">
        <v>139</v>
      </c>
      <c r="J140" s="246"/>
      <c r="K140" s="222">
        <f>+K128+K132+K136</f>
        <v>0</v>
      </c>
      <c r="L140" s="222">
        <f>IF($A$1&gt;1,L128+L132+L136,0)</f>
        <v>0</v>
      </c>
      <c r="M140" s="222">
        <f>IF($A$1&gt;2,M128+M132+M136,0)</f>
        <v>0</v>
      </c>
      <c r="N140" s="222">
        <f>IF($A$1&gt;3,N128+N132+N136,0)</f>
        <v>0</v>
      </c>
      <c r="O140" s="222">
        <f>IF($A$1&gt;4,O128+O132+O136,0)</f>
        <v>0</v>
      </c>
      <c r="P140" s="247">
        <f>SUM(K140:O140)</f>
        <v>0</v>
      </c>
      <c r="Q140" s="22"/>
    </row>
    <row r="141" spans="1:23" ht="13.5" x14ac:dyDescent="0.25">
      <c r="A141" s="180"/>
      <c r="B141" s="256"/>
      <c r="C141" s="256"/>
      <c r="D141" s="257"/>
      <c r="E141" s="257"/>
      <c r="F141" s="259"/>
      <c r="G141" s="259"/>
      <c r="H141" s="259"/>
      <c r="I141" s="259" t="s">
        <v>24</v>
      </c>
      <c r="J141" s="259"/>
      <c r="K141" s="230">
        <f>K137+K138</f>
        <v>0</v>
      </c>
      <c r="L141" s="230">
        <f>IF($A$1&gt;1,L137+L138,0)</f>
        <v>0</v>
      </c>
      <c r="M141" s="230">
        <f>IF($A$1&gt;2,M137+M138,0)</f>
        <v>0</v>
      </c>
      <c r="N141" s="230">
        <f>IF($A$1&gt;3,N137+N138,0)</f>
        <v>0</v>
      </c>
      <c r="O141" s="230">
        <f>IF($A$1&gt;4,O137+O138,0)</f>
        <v>0</v>
      </c>
      <c r="P141" s="241">
        <f t="shared" si="25"/>
        <v>0</v>
      </c>
      <c r="Q141" s="4"/>
    </row>
    <row r="142" spans="1:23" x14ac:dyDescent="0.2">
      <c r="A142" s="180"/>
      <c r="B142" s="228"/>
      <c r="C142" s="228"/>
      <c r="D142" s="228"/>
      <c r="E142" s="228"/>
      <c r="F142" s="228"/>
      <c r="G142" s="228"/>
      <c r="H142" s="228"/>
      <c r="I142" s="196"/>
      <c r="J142" s="196"/>
      <c r="K142" s="200"/>
      <c r="L142" s="230"/>
      <c r="M142" s="230"/>
      <c r="N142" s="230"/>
      <c r="O142" s="230"/>
      <c r="P142" s="201"/>
    </row>
    <row r="143" spans="1:23" x14ac:dyDescent="0.2">
      <c r="A143" s="180"/>
      <c r="B143" s="237"/>
      <c r="C143" s="237"/>
      <c r="D143" s="180"/>
      <c r="E143" s="180"/>
      <c r="F143" s="180"/>
      <c r="G143" s="180"/>
      <c r="H143" s="180"/>
      <c r="I143" s="180"/>
      <c r="J143" s="180"/>
      <c r="K143" s="200"/>
      <c r="L143" s="200"/>
      <c r="M143" s="200"/>
      <c r="N143" s="200"/>
      <c r="O143" s="200"/>
      <c r="P143" s="201"/>
    </row>
    <row r="144" spans="1:23" x14ac:dyDescent="0.2">
      <c r="A144" s="180"/>
      <c r="B144" s="219" t="s">
        <v>269</v>
      </c>
      <c r="C144" s="219"/>
      <c r="D144" s="219"/>
      <c r="E144" s="219"/>
      <c r="F144" s="219"/>
      <c r="G144" s="219"/>
      <c r="H144" s="219"/>
      <c r="I144" s="196"/>
      <c r="J144" s="196"/>
      <c r="K144" s="200"/>
      <c r="L144" s="200"/>
      <c r="M144" s="200"/>
      <c r="N144" s="200"/>
      <c r="O144" s="200"/>
      <c r="P144" s="201"/>
    </row>
    <row r="145" spans="1:18" x14ac:dyDescent="0.2">
      <c r="A145" s="180"/>
      <c r="B145" s="219" t="s">
        <v>86</v>
      </c>
      <c r="C145" s="219"/>
      <c r="D145" s="219"/>
      <c r="E145" s="219"/>
      <c r="F145" s="219"/>
      <c r="G145" s="219"/>
      <c r="H145" s="219"/>
      <c r="I145" s="219"/>
      <c r="J145" s="219"/>
      <c r="K145" s="200">
        <f>ROUND(U$10*(E39+(E46/3)),0)</f>
        <v>0</v>
      </c>
      <c r="L145" s="200">
        <f>IF($A$1&gt;1,ROUND(V$10*(F39+(F46/3)),0),0)</f>
        <v>0</v>
      </c>
      <c r="M145" s="200">
        <f>IF($A$1&gt;2,ROUND(W$10*(G39+(G46/3)),0),0)</f>
        <v>0</v>
      </c>
      <c r="N145" s="200">
        <f>IF($A$1&gt;3,ROUND(X$10*(H39+(H46/3)),0),0)</f>
        <v>0</v>
      </c>
      <c r="O145" s="200">
        <f>IF($A$1&gt;4,ROUND(Y$10*(I39+(I46/3)),0),0)</f>
        <v>0</v>
      </c>
      <c r="P145" s="201">
        <f>SUM(K145:O145)</f>
        <v>0</v>
      </c>
    </row>
    <row r="146" spans="1:18" x14ac:dyDescent="0.2">
      <c r="A146" s="180"/>
      <c r="B146" s="219" t="s">
        <v>87</v>
      </c>
      <c r="C146" s="219"/>
      <c r="D146" s="219"/>
      <c r="E146" s="219"/>
      <c r="F146" s="219"/>
      <c r="G146" s="219"/>
      <c r="H146" s="219"/>
      <c r="I146" s="219"/>
      <c r="J146" s="219"/>
      <c r="K146" s="200">
        <f>ROUND(U$10*(E40+(E47/3)),0)</f>
        <v>0</v>
      </c>
      <c r="L146" s="200">
        <f>IF($A$1&gt;1,ROUND(V$10*(F40+(F47/3)),0),0)</f>
        <v>0</v>
      </c>
      <c r="M146" s="200">
        <f>IF($A$1&gt;2,ROUND(W$10*(G40+(G47/3)),0),0)</f>
        <v>0</v>
      </c>
      <c r="N146" s="200">
        <f>IF($A$1&gt;3,ROUND(X$10*(H40+(H47/3)),0),0)</f>
        <v>0</v>
      </c>
      <c r="O146" s="200">
        <f>IF($A$1&gt;4,ROUND(Y$10*(I40+(I47/3)),0),0)</f>
        <v>0</v>
      </c>
      <c r="P146" s="201">
        <f>SUM(K146:O146)</f>
        <v>0</v>
      </c>
    </row>
    <row r="147" spans="1:18" ht="13.5" x14ac:dyDescent="0.25">
      <c r="A147" s="180"/>
      <c r="B147" s="237"/>
      <c r="C147" s="237"/>
      <c r="D147" s="237"/>
      <c r="E147" s="237"/>
      <c r="F147" s="237"/>
      <c r="G147" s="237"/>
      <c r="H147" s="237"/>
      <c r="I147" s="203"/>
      <c r="J147" s="259" t="s">
        <v>270</v>
      </c>
      <c r="K147" s="239">
        <f>SUM(K145:K146)</f>
        <v>0</v>
      </c>
      <c r="L147" s="239">
        <f>IF($A$1&gt;1,SUM(L145:L146),0)</f>
        <v>0</v>
      </c>
      <c r="M147" s="239">
        <f>IF($A$1&gt;2,SUM(M145:M146),0)</f>
        <v>0</v>
      </c>
      <c r="N147" s="239">
        <f>IF($A$1&gt;3,SUM(N145:N146),0)</f>
        <v>0</v>
      </c>
      <c r="O147" s="239">
        <f>IF($A$1&gt;4,SUM(O145:O146),0)</f>
        <v>0</v>
      </c>
      <c r="P147" s="242">
        <f>SUM(K147:O147)</f>
        <v>0</v>
      </c>
    </row>
    <row r="148" spans="1:18" x14ac:dyDescent="0.2">
      <c r="A148" s="180"/>
      <c r="B148" s="219" t="s">
        <v>271</v>
      </c>
      <c r="C148" s="219"/>
      <c r="D148" s="219"/>
      <c r="E148" s="219"/>
      <c r="F148" s="219"/>
      <c r="G148" s="219"/>
      <c r="H148" s="219"/>
      <c r="I148" s="196"/>
      <c r="J148" s="196"/>
      <c r="Q148" s="15"/>
      <c r="R148" s="1" t="s">
        <v>30</v>
      </c>
    </row>
    <row r="149" spans="1:18" x14ac:dyDescent="0.2">
      <c r="A149" s="180"/>
      <c r="B149" s="219" t="s">
        <v>88</v>
      </c>
      <c r="C149" s="219"/>
      <c r="D149" s="219"/>
      <c r="E149" s="219"/>
      <c r="F149" s="219"/>
      <c r="G149" s="219"/>
      <c r="H149" s="219"/>
      <c r="I149" s="196"/>
      <c r="J149" s="196"/>
      <c r="K149" s="224"/>
      <c r="L149" s="224">
        <f>IF($A$1&gt;1,ROUND($K149*$U$15,0),0)</f>
        <v>0</v>
      </c>
      <c r="M149" s="224">
        <f>IF($A$1&gt;2,ROUND($K149*$U$15^2,0),0)</f>
        <v>0</v>
      </c>
      <c r="N149" s="224">
        <f>IF($A$1&gt;3,ROUND($K149*$U$15^3,0),0)</f>
        <v>0</v>
      </c>
      <c r="O149" s="224">
        <f>IF($A$1&gt;4,ROUND($K149*$U$15^4,0),0)</f>
        <v>0</v>
      </c>
      <c r="P149" s="225">
        <f>SUM(K149:O149)</f>
        <v>0</v>
      </c>
    </row>
    <row r="150" spans="1:18" x14ac:dyDescent="0.2">
      <c r="A150" s="180"/>
      <c r="B150" s="219"/>
      <c r="C150" s="219"/>
      <c r="D150" s="219"/>
      <c r="E150" s="219"/>
      <c r="F150" s="219"/>
      <c r="G150" s="219"/>
      <c r="H150" s="219"/>
      <c r="I150" s="196"/>
      <c r="J150" s="196"/>
      <c r="K150" s="208"/>
      <c r="L150" s="208"/>
      <c r="M150" s="208"/>
      <c r="N150" s="208"/>
      <c r="O150" s="208"/>
      <c r="P150" s="201"/>
    </row>
    <row r="151" spans="1:18" ht="13.5" x14ac:dyDescent="0.25">
      <c r="A151" s="180"/>
      <c r="C151" s="237"/>
      <c r="D151" s="237"/>
      <c r="E151" s="237"/>
      <c r="F151" s="237"/>
      <c r="G151" s="237"/>
      <c r="H151" s="237"/>
      <c r="I151" s="259"/>
      <c r="J151" s="259" t="s">
        <v>129</v>
      </c>
      <c r="K151" s="239">
        <f>K147+K149</f>
        <v>0</v>
      </c>
      <c r="L151" s="239">
        <f>L147+L149</f>
        <v>0</v>
      </c>
      <c r="M151" s="239">
        <f>M147+M149</f>
        <v>0</v>
      </c>
      <c r="N151" s="239">
        <f>N147+N149</f>
        <v>0</v>
      </c>
      <c r="O151" s="239">
        <f>O147+O149</f>
        <v>0</v>
      </c>
      <c r="P151" s="242">
        <f>SUM(K151:O151)</f>
        <v>0</v>
      </c>
    </row>
    <row r="152" spans="1:18" x14ac:dyDescent="0.2">
      <c r="A152" s="180"/>
      <c r="B152" s="237"/>
      <c r="C152" s="237"/>
      <c r="D152" s="237"/>
      <c r="E152" s="237"/>
      <c r="F152" s="237"/>
      <c r="G152" s="237"/>
      <c r="H152" s="237"/>
      <c r="I152" s="203"/>
      <c r="J152" s="203"/>
      <c r="K152" s="386"/>
      <c r="L152" s="386"/>
      <c r="M152" s="386"/>
      <c r="N152" s="386"/>
      <c r="O152" s="386"/>
      <c r="P152" s="241"/>
    </row>
    <row r="153" spans="1:18" x14ac:dyDescent="0.2">
      <c r="A153" s="180"/>
      <c r="B153" s="219" t="s">
        <v>272</v>
      </c>
      <c r="C153" s="237"/>
      <c r="D153" s="237"/>
      <c r="E153" s="237"/>
      <c r="F153" s="237"/>
      <c r="G153" s="237"/>
      <c r="H153" s="237"/>
      <c r="I153" s="203"/>
      <c r="J153" s="203"/>
      <c r="K153" s="230"/>
      <c r="L153" s="230"/>
      <c r="M153" s="230"/>
      <c r="N153" s="230"/>
      <c r="O153" s="230"/>
      <c r="P153" s="241"/>
    </row>
    <row r="154" spans="1:18" x14ac:dyDescent="0.2">
      <c r="A154" s="180"/>
      <c r="B154" s="388" t="s">
        <v>22</v>
      </c>
      <c r="C154" s="196"/>
      <c r="D154" s="196"/>
      <c r="E154" s="196"/>
      <c r="F154" s="196"/>
      <c r="G154" s="196"/>
      <c r="H154" s="196"/>
      <c r="I154" s="196"/>
      <c r="J154" s="196"/>
      <c r="K154" s="200">
        <v>0</v>
      </c>
      <c r="L154" s="200">
        <f>IF($A$1&gt;1,ROUND($K154*$U$15,0),0)</f>
        <v>0</v>
      </c>
      <c r="M154" s="200">
        <f>IF($A$1&gt;2,ROUND($K154*$U$15^2,0),0)</f>
        <v>0</v>
      </c>
      <c r="N154" s="200">
        <f>IF($A$1&gt;3,ROUND($K154*$U$15^3,0),0)</f>
        <v>0</v>
      </c>
      <c r="O154" s="200">
        <f>IF($A$1&gt;4,ROUND($K154*$U$15^4,0),0)</f>
        <v>0</v>
      </c>
      <c r="P154" s="201">
        <f>SUM(K154:O154)</f>
        <v>0</v>
      </c>
    </row>
    <row r="155" spans="1:18" x14ac:dyDescent="0.2">
      <c r="A155" s="184"/>
      <c r="B155" s="388" t="s">
        <v>22</v>
      </c>
      <c r="C155" s="196"/>
      <c r="D155" s="196"/>
      <c r="E155" s="196"/>
      <c r="F155" s="196"/>
      <c r="G155" s="196"/>
      <c r="H155" s="196"/>
      <c r="I155" s="196"/>
      <c r="J155" s="196"/>
      <c r="K155" s="200">
        <v>0</v>
      </c>
      <c r="L155" s="200">
        <f>IF($A$1&gt;1,ROUND($K155*$U$15,0),0)</f>
        <v>0</v>
      </c>
      <c r="M155" s="200">
        <f>IF($A$1&gt;2,ROUND($K155*$U$15^2,0),0)</f>
        <v>0</v>
      </c>
      <c r="N155" s="200">
        <f>IF($A$1&gt;3,ROUND($K155*$U$15^3,0),0)</f>
        <v>0</v>
      </c>
      <c r="O155" s="200">
        <f>IF($A$1&gt;4,ROUND($K155*$U$15^4,0),0)</f>
        <v>0</v>
      </c>
      <c r="P155" s="201">
        <f>SUM(K155:O155)</f>
        <v>0</v>
      </c>
    </row>
    <row r="156" spans="1:18" ht="13.5" x14ac:dyDescent="0.25">
      <c r="A156" s="180"/>
      <c r="B156" s="226"/>
      <c r="C156" s="226"/>
      <c r="D156" s="226"/>
      <c r="E156" s="226"/>
      <c r="F156" s="226"/>
      <c r="G156" s="226"/>
      <c r="H156" s="261"/>
      <c r="I156" s="238"/>
      <c r="J156" s="238" t="s">
        <v>7</v>
      </c>
      <c r="K156" s="239">
        <f>SUM(K154:K155)</f>
        <v>0</v>
      </c>
      <c r="L156" s="239">
        <f>SUM(L154:L155)</f>
        <v>0</v>
      </c>
      <c r="M156" s="239">
        <f>SUM(M154:M155)</f>
        <v>0</v>
      </c>
      <c r="N156" s="239">
        <f>SUM(N154:N155)</f>
        <v>0</v>
      </c>
      <c r="O156" s="239">
        <f>SUM(O154:O155)</f>
        <v>0</v>
      </c>
      <c r="P156" s="242">
        <f>SUM(K156:O156)</f>
        <v>0</v>
      </c>
    </row>
    <row r="157" spans="1:18" ht="13.5" x14ac:dyDescent="0.25">
      <c r="A157" s="180"/>
      <c r="B157" s="226"/>
      <c r="C157" s="226"/>
      <c r="D157" s="226"/>
      <c r="E157" s="226"/>
      <c r="F157" s="226"/>
      <c r="G157" s="226"/>
      <c r="H157" s="261"/>
      <c r="I157" s="238"/>
      <c r="J157" s="238"/>
      <c r="K157" s="386"/>
      <c r="L157" s="386"/>
      <c r="M157" s="386"/>
      <c r="N157" s="386"/>
      <c r="O157" s="386"/>
      <c r="P157" s="241"/>
    </row>
    <row r="158" spans="1:18" ht="15" x14ac:dyDescent="0.25">
      <c r="A158" s="180"/>
      <c r="B158" s="226"/>
      <c r="C158" s="226"/>
      <c r="D158" s="226"/>
      <c r="E158" s="226"/>
      <c r="F158" s="226"/>
      <c r="G158" s="226"/>
      <c r="H158" s="389"/>
      <c r="I158" s="390"/>
      <c r="J158" s="390" t="s">
        <v>273</v>
      </c>
      <c r="K158" s="216">
        <f>K156+K151+K141+K120+K116+K111+K107</f>
        <v>0</v>
      </c>
      <c r="L158" s="216">
        <f>L156+L151+L141+L120+L116+L111+L107</f>
        <v>0</v>
      </c>
      <c r="M158" s="216">
        <f>M156+M151+M141+M120+M116+M111+M107</f>
        <v>0</v>
      </c>
      <c r="N158" s="216">
        <f>N156+N151+N141+N120+N116+N111+N107</f>
        <v>0</v>
      </c>
      <c r="O158" s="216">
        <f>O156+O151+O141+O120+O116+O111+O107</f>
        <v>0</v>
      </c>
      <c r="P158" s="217">
        <f>SUM(K158:O158)</f>
        <v>0</v>
      </c>
    </row>
    <row r="159" spans="1:18" x14ac:dyDescent="0.2">
      <c r="A159" s="180"/>
      <c r="B159" s="237"/>
      <c r="C159" s="237"/>
      <c r="D159" s="237"/>
      <c r="E159" s="237"/>
      <c r="F159" s="237"/>
      <c r="G159" s="237"/>
      <c r="H159" s="237"/>
      <c r="I159" s="203"/>
      <c r="J159" s="203"/>
      <c r="K159" s="230"/>
      <c r="L159" s="230"/>
      <c r="M159" s="230"/>
      <c r="N159" s="230"/>
      <c r="O159" s="230"/>
      <c r="P159" s="241"/>
    </row>
    <row r="160" spans="1:18" x14ac:dyDescent="0.2">
      <c r="A160" s="180"/>
      <c r="B160" s="228"/>
      <c r="C160" s="228"/>
      <c r="D160" s="228"/>
      <c r="E160" s="228"/>
      <c r="F160" s="228"/>
      <c r="G160" s="228"/>
      <c r="H160" s="228"/>
      <c r="I160" s="196"/>
      <c r="J160" s="196"/>
      <c r="K160" s="200"/>
      <c r="L160" s="230"/>
      <c r="M160" s="230"/>
      <c r="N160" s="230"/>
      <c r="O160" s="230"/>
      <c r="P160" s="241"/>
    </row>
    <row r="161" spans="1:18" x14ac:dyDescent="0.2">
      <c r="A161" s="180"/>
      <c r="B161" s="391" t="s">
        <v>274</v>
      </c>
      <c r="C161" s="391"/>
      <c r="D161" s="392"/>
      <c r="E161" s="392"/>
      <c r="F161" s="392"/>
      <c r="G161" s="392"/>
      <c r="H161" s="392"/>
      <c r="I161" s="392"/>
      <c r="J161" s="392"/>
      <c r="K161" s="393">
        <f>K158+K98+K91+K85+K79</f>
        <v>0</v>
      </c>
      <c r="L161" s="393">
        <f>L158+L98+L91+L85+L79</f>
        <v>0</v>
      </c>
      <c r="M161" s="393">
        <f>M158+M98+M91+M85+M79</f>
        <v>0</v>
      </c>
      <c r="N161" s="393">
        <f>N158+N98+N91+N85+N79</f>
        <v>0</v>
      </c>
      <c r="O161" s="393">
        <f>O158+O98+O91+O85+O79</f>
        <v>0</v>
      </c>
      <c r="P161" s="394">
        <f>SUM(K161:O161)</f>
        <v>0</v>
      </c>
    </row>
    <row r="162" spans="1:18" x14ac:dyDescent="0.2">
      <c r="A162" s="180"/>
      <c r="B162" s="262" t="s">
        <v>145</v>
      </c>
      <c r="C162" s="263"/>
      <c r="D162" s="263"/>
      <c r="E162" s="263"/>
      <c r="F162" s="263"/>
      <c r="G162" s="263"/>
      <c r="H162" s="263"/>
      <c r="I162" s="264"/>
      <c r="J162" s="264"/>
      <c r="K162" s="265">
        <f>K140</f>
        <v>0</v>
      </c>
      <c r="L162" s="265">
        <f>L140</f>
        <v>0</v>
      </c>
      <c r="M162" s="265">
        <f>M140</f>
        <v>0</v>
      </c>
      <c r="N162" s="265">
        <f>N140</f>
        <v>0</v>
      </c>
      <c r="O162" s="265">
        <f>O140</f>
        <v>0</v>
      </c>
      <c r="P162" s="266">
        <f>SUM(K162:O162)</f>
        <v>0</v>
      </c>
      <c r="Q162" s="1" t="s">
        <v>153</v>
      </c>
    </row>
    <row r="163" spans="1:18" x14ac:dyDescent="0.2">
      <c r="A163" s="180"/>
      <c r="B163" s="267" t="s">
        <v>144</v>
      </c>
      <c r="C163" s="268"/>
      <c r="D163" s="264"/>
      <c r="E163" s="264"/>
      <c r="F163" s="264"/>
      <c r="G163" s="264"/>
      <c r="H163" s="264"/>
      <c r="I163" s="264"/>
      <c r="J163" s="264"/>
      <c r="K163" s="265">
        <f>K161-K162</f>
        <v>0</v>
      </c>
      <c r="L163" s="265">
        <f>L161-L162</f>
        <v>0</v>
      </c>
      <c r="M163" s="265">
        <f>M161-M162</f>
        <v>0</v>
      </c>
      <c r="N163" s="265">
        <f>N161-N162</f>
        <v>0</v>
      </c>
      <c r="O163" s="265">
        <f>O161-O162</f>
        <v>0</v>
      </c>
      <c r="P163" s="266">
        <f>SUM(K163:O163)</f>
        <v>0</v>
      </c>
      <c r="Q163" s="1" t="s">
        <v>275</v>
      </c>
    </row>
    <row r="164" spans="1:18" x14ac:dyDescent="0.2">
      <c r="A164" s="180"/>
      <c r="B164" s="406"/>
      <c r="C164" s="407"/>
      <c r="D164" s="408"/>
      <c r="E164" s="408"/>
      <c r="F164" s="408"/>
      <c r="G164" s="408"/>
      <c r="H164" s="408"/>
      <c r="I164" s="408"/>
      <c r="J164" s="408"/>
      <c r="K164" s="409"/>
      <c r="L164" s="409"/>
      <c r="M164" s="409"/>
      <c r="N164" s="409"/>
      <c r="O164" s="409"/>
      <c r="P164" s="410"/>
    </row>
    <row r="165" spans="1:18" x14ac:dyDescent="0.2">
      <c r="A165" s="180"/>
      <c r="B165" s="269" t="s">
        <v>146</v>
      </c>
      <c r="C165" s="270"/>
      <c r="D165" s="271"/>
      <c r="E165" s="271"/>
      <c r="F165" s="271"/>
      <c r="G165" s="271"/>
      <c r="H165" s="271"/>
      <c r="I165" s="271"/>
      <c r="J165" s="271"/>
      <c r="K165" s="272"/>
      <c r="L165" s="272"/>
      <c r="M165" s="272"/>
      <c r="N165" s="272"/>
      <c r="O165" s="272"/>
      <c r="P165" s="273"/>
    </row>
    <row r="166" spans="1:18" x14ac:dyDescent="0.2">
      <c r="A166" s="180"/>
      <c r="B166" s="269" t="s">
        <v>148</v>
      </c>
      <c r="C166" s="180"/>
      <c r="D166" s="180"/>
      <c r="E166" s="180"/>
      <c r="F166" s="180"/>
      <c r="G166" s="180"/>
      <c r="H166" s="180"/>
      <c r="I166" s="180"/>
      <c r="J166" s="180"/>
      <c r="K166" s="274">
        <f>$P$200*25000</f>
        <v>0</v>
      </c>
      <c r="L166" s="274">
        <f>IF($A$1&gt;1,$P$200*25000,"")</f>
        <v>0</v>
      </c>
      <c r="M166" s="274">
        <f>IF($A$1&gt;2,$P$200*25000,"")</f>
        <v>0</v>
      </c>
      <c r="N166" s="274">
        <f>IF($A$1&gt;3,$P$200*25000,"")</f>
        <v>0</v>
      </c>
      <c r="O166" s="274">
        <f>IF($A$1&gt;4,$P$200*25000,"")</f>
        <v>0</v>
      </c>
      <c r="P166" s="275">
        <f>SUM(K166:O166)</f>
        <v>0</v>
      </c>
    </row>
    <row r="167" spans="1:18" x14ac:dyDescent="0.2">
      <c r="A167" s="180"/>
      <c r="B167" s="269" t="s">
        <v>147</v>
      </c>
      <c r="C167" s="180"/>
      <c r="D167" s="180"/>
      <c r="E167" s="180"/>
      <c r="F167" s="180"/>
      <c r="G167" s="180"/>
      <c r="H167" s="180"/>
      <c r="I167" s="180"/>
      <c r="J167" s="180"/>
      <c r="K167" s="274">
        <f>K140</f>
        <v>0</v>
      </c>
      <c r="L167" s="274">
        <f>IF($A$1&gt;1,L140,0)</f>
        <v>0</v>
      </c>
      <c r="M167" s="274">
        <f>IF($A$1&gt;2,M140,0)</f>
        <v>0</v>
      </c>
      <c r="N167" s="274">
        <f>IF($A$1&gt;3,N140,0)</f>
        <v>0</v>
      </c>
      <c r="O167" s="274">
        <f>IF($A$1&gt;4,O140,0)</f>
        <v>0</v>
      </c>
      <c r="P167" s="275">
        <f>SUM(K167:O167)</f>
        <v>0</v>
      </c>
    </row>
    <row r="168" spans="1:18" x14ac:dyDescent="0.2">
      <c r="A168" s="180"/>
      <c r="B168" s="276" t="s">
        <v>149</v>
      </c>
      <c r="C168" s="179"/>
      <c r="D168" s="179"/>
      <c r="E168" s="179"/>
      <c r="F168" s="179"/>
      <c r="G168" s="179"/>
      <c r="H168" s="179"/>
      <c r="I168" s="179"/>
      <c r="J168" s="179"/>
      <c r="K168" s="277">
        <f>+K166+K167</f>
        <v>0</v>
      </c>
      <c r="L168" s="277">
        <f>IF($A$1&gt;1,+L166+L167,"")</f>
        <v>0</v>
      </c>
      <c r="M168" s="277">
        <f>IF($A$1&gt;2,+M166+M167,"")</f>
        <v>0</v>
      </c>
      <c r="N168" s="277">
        <f>IF($A$1&gt;3,+N166+N167,"")</f>
        <v>0</v>
      </c>
      <c r="O168" s="277">
        <f>IF($A$1&gt;4,+O166+O167,"")</f>
        <v>0</v>
      </c>
      <c r="P168" s="278">
        <f>SUM(K168:O168)</f>
        <v>0</v>
      </c>
      <c r="Q168" s="1" t="s">
        <v>258</v>
      </c>
    </row>
    <row r="169" spans="1:18" x14ac:dyDescent="0.2">
      <c r="A169" s="180"/>
      <c r="B169" s="269"/>
      <c r="C169" s="180"/>
      <c r="D169" s="180"/>
      <c r="E169" s="180"/>
      <c r="F169" s="180"/>
      <c r="G169" s="180"/>
      <c r="H169" s="180"/>
      <c r="I169" s="180"/>
      <c r="J169" s="180"/>
      <c r="K169" s="274"/>
      <c r="L169" s="274"/>
      <c r="M169" s="274"/>
      <c r="N169" s="274"/>
      <c r="O169" s="274"/>
      <c r="P169" s="275"/>
      <c r="Q169" s="1" t="s">
        <v>164</v>
      </c>
    </row>
    <row r="170" spans="1:18" x14ac:dyDescent="0.2">
      <c r="A170" s="180"/>
      <c r="B170" s="269" t="s">
        <v>150</v>
      </c>
      <c r="C170" s="180"/>
      <c r="D170" s="180"/>
      <c r="E170" s="180"/>
      <c r="F170" s="180"/>
      <c r="G170" s="180"/>
      <c r="H170" s="180"/>
      <c r="I170" s="180"/>
      <c r="J170" s="180"/>
      <c r="K170" s="274"/>
      <c r="L170" s="274"/>
      <c r="M170" s="274"/>
      <c r="N170" s="274"/>
      <c r="O170" s="274"/>
      <c r="P170" s="275"/>
      <c r="Q170" s="15"/>
    </row>
    <row r="171" spans="1:18" x14ac:dyDescent="0.2">
      <c r="A171" s="180"/>
      <c r="B171" s="269" t="s">
        <v>140</v>
      </c>
      <c r="C171" s="180"/>
      <c r="D171" s="180"/>
      <c r="E171" s="180"/>
      <c r="F171" s="180"/>
      <c r="G171" s="180"/>
      <c r="H171" s="180"/>
      <c r="I171" s="180"/>
      <c r="J171" s="180"/>
      <c r="K171" s="421">
        <f>K168-K151-K98-K138-K85</f>
        <v>0</v>
      </c>
      <c r="L171" s="421">
        <f>IF($A$1&gt;1,L168-L151-L98-L138-L85,0)</f>
        <v>0</v>
      </c>
      <c r="M171" s="421">
        <f>IF($A$1&gt;2,M168-M151-M98-M138-M85,0)</f>
        <v>0</v>
      </c>
      <c r="N171" s="421">
        <f>IF($A$1&gt;3,N168-N151-N98-N138-N85,0)</f>
        <v>0</v>
      </c>
      <c r="O171" s="421">
        <f>IF($A$1&gt;4,O168-O151-O98-O138-O85,0)</f>
        <v>0</v>
      </c>
      <c r="P171" s="275">
        <f>SUM(K171:O171)</f>
        <v>0</v>
      </c>
    </row>
    <row r="172" spans="1:18" x14ac:dyDescent="0.2">
      <c r="A172" s="180"/>
      <c r="B172" s="279"/>
      <c r="C172" s="228"/>
      <c r="D172" s="195" t="s">
        <v>178</v>
      </c>
      <c r="E172" s="196"/>
      <c r="F172" s="196"/>
      <c r="G172" s="196"/>
      <c r="H172" s="196"/>
      <c r="I172" s="32"/>
      <c r="J172" s="32"/>
      <c r="K172" s="280"/>
      <c r="L172" s="280"/>
      <c r="M172" s="280"/>
      <c r="N172" s="280"/>
      <c r="O172" s="280"/>
      <c r="P172" s="281"/>
    </row>
    <row r="173" spans="1:18" x14ac:dyDescent="0.2">
      <c r="A173" s="180"/>
      <c r="B173" s="282" t="s">
        <v>179</v>
      </c>
      <c r="C173" s="325"/>
      <c r="D173" s="458" t="s">
        <v>171</v>
      </c>
      <c r="E173" s="458"/>
      <c r="F173" s="458"/>
      <c r="G173" s="283"/>
      <c r="H173" s="283"/>
      <c r="I173" s="284"/>
      <c r="J173" s="284"/>
      <c r="K173" s="319">
        <f>IF(D173=AG5,0,IF(K175&gt;0,0,VLOOKUP(K5,'F&amp;A History'!$C:$K,VLOOKUP(D173,$AG$5:$AH$11,2,FALSE),TRUE)/100))</f>
        <v>0</v>
      </c>
      <c r="L173" s="319">
        <f>IF($A$1&gt;1,IF(D173=AG5,0,IF(K175&gt;0,0,VLOOKUP(L5,'F&amp;A History'!$C:$K,VLOOKUP(D173,$AG$5:$AH$11,2,FALSE),TRUE)/100)),"")</f>
        <v>0</v>
      </c>
      <c r="M173" s="319">
        <f>IF($A$1&gt;2,IF(D173=AG5,0,IF(K175&gt;0,0,VLOOKUP(M5,'F&amp;A History'!$C:$K,VLOOKUP(D173,$AG$5:$AH$11,2,FALSE),TRUE)/100)),"")</f>
        <v>0</v>
      </c>
      <c r="N173" s="319">
        <f>IF($A$1&gt;3,IF(D173=AG5,0,IF(K175&gt;0,0,VLOOKUP(N5,'F&amp;A History'!$C:$K,VLOOKUP(D173,$AG$5:$AH$11,2,FALSE),TRUE)/100)),"")</f>
        <v>0</v>
      </c>
      <c r="O173" s="319">
        <f>IF($A$1&gt;4,IF(D173=AG5,0,IF(K175&gt;0,0,VLOOKUP(O5,'F&amp;A History'!$C:$K,VLOOKUP(D173,$AG$5:$AH$11,2,FALSE),TRUE)/100)),"")</f>
        <v>0</v>
      </c>
      <c r="P173" s="285"/>
      <c r="R173" s="135"/>
    </row>
    <row r="174" spans="1:18" x14ac:dyDescent="0.2">
      <c r="A174" s="180"/>
      <c r="B174" s="197"/>
      <c r="C174" s="196"/>
      <c r="D174" s="196"/>
      <c r="E174" s="196"/>
      <c r="F174" s="196"/>
      <c r="G174" s="196"/>
      <c r="H174" s="196"/>
      <c r="I174" s="32"/>
      <c r="J174" s="32"/>
      <c r="K174" s="286"/>
      <c r="L174" s="287"/>
      <c r="M174" s="287"/>
      <c r="N174" s="287"/>
      <c r="O174" s="287"/>
      <c r="P174" s="288"/>
    </row>
    <row r="175" spans="1:18" x14ac:dyDescent="0.2">
      <c r="A175" s="180"/>
      <c r="B175" s="395" t="s">
        <v>180</v>
      </c>
      <c r="C175" s="326"/>
      <c r="D175" s="289"/>
      <c r="E175" s="289"/>
      <c r="F175" s="289"/>
      <c r="G175" s="289"/>
      <c r="H175" s="289"/>
      <c r="I175" s="290"/>
      <c r="J175" s="290"/>
      <c r="K175" s="291"/>
      <c r="L175" s="291"/>
      <c r="M175" s="291"/>
      <c r="N175" s="291"/>
      <c r="O175" s="291"/>
      <c r="P175" s="292"/>
    </row>
    <row r="176" spans="1:18" x14ac:dyDescent="0.2">
      <c r="A176" s="180"/>
      <c r="B176" s="293"/>
      <c r="C176" s="228"/>
      <c r="D176" s="196"/>
      <c r="E176" s="196"/>
      <c r="F176" s="196"/>
      <c r="G176" s="196"/>
      <c r="H176" s="196"/>
      <c r="I176" s="180"/>
      <c r="J176" s="180"/>
      <c r="K176" s="280"/>
      <c r="L176" s="280"/>
      <c r="M176" s="280"/>
      <c r="N176" s="280"/>
      <c r="O176" s="280"/>
      <c r="P176" s="294"/>
    </row>
    <row r="177" spans="1:17" x14ac:dyDescent="0.2">
      <c r="A177" s="180"/>
      <c r="B177" s="295" t="s">
        <v>181</v>
      </c>
      <c r="C177" s="296"/>
      <c r="D177" s="297"/>
      <c r="E177" s="298"/>
      <c r="F177" s="298"/>
      <c r="G177" s="298"/>
      <c r="H177" s="299"/>
      <c r="I177" s="300"/>
      <c r="J177" s="300"/>
      <c r="K177" s="301">
        <f>ROUND(IF(ISBLANK(K175),K173*K171,K175*K171),0)</f>
        <v>0</v>
      </c>
      <c r="L177" s="301">
        <f>IF($A$1&gt;1,ROUND(IF(ISBLANK(L175),L173*L171,L175*L171),0),"")</f>
        <v>0</v>
      </c>
      <c r="M177" s="301">
        <f>IF($A$1&gt;2,ROUND(IF(ISBLANK(M175),M173*M171,M175*M171),0),"")</f>
        <v>0</v>
      </c>
      <c r="N177" s="301">
        <f>IF($A$1&gt;3,ROUND(IF(ISBLANK(N175),N173*N171,N175*N171),0),"")</f>
        <v>0</v>
      </c>
      <c r="O177" s="301">
        <f>IF($A$1&gt;4,ROUND(IF(ISBLANK(O175),O173*O171,O175*O171),0),"")</f>
        <v>0</v>
      </c>
      <c r="P177" s="278">
        <f>SUM(K177:O177)</f>
        <v>0</v>
      </c>
    </row>
    <row r="178" spans="1:17" x14ac:dyDescent="0.2">
      <c r="A178" s="180"/>
      <c r="B178" s="302"/>
      <c r="C178" s="196"/>
      <c r="D178" s="180"/>
      <c r="E178" s="303"/>
      <c r="F178" s="303"/>
      <c r="G178" s="303"/>
      <c r="H178" s="304"/>
      <c r="I178" s="305"/>
      <c r="J178" s="305"/>
      <c r="K178" s="280"/>
      <c r="L178" s="280"/>
      <c r="M178" s="280"/>
      <c r="N178" s="280"/>
      <c r="O178" s="280"/>
      <c r="P178" s="275"/>
    </row>
    <row r="179" spans="1:17" x14ac:dyDescent="0.2">
      <c r="A179" s="180"/>
      <c r="B179" s="302"/>
      <c r="C179" s="196"/>
      <c r="D179" s="180"/>
      <c r="E179" s="303"/>
      <c r="F179" s="303"/>
      <c r="G179" s="303"/>
      <c r="H179" s="304"/>
      <c r="I179" s="305"/>
      <c r="J179" s="305"/>
      <c r="K179" s="280"/>
      <c r="L179" s="280"/>
      <c r="M179" s="280"/>
      <c r="N179" s="280"/>
      <c r="O179" s="280"/>
      <c r="P179" s="275"/>
    </row>
    <row r="180" spans="1:17" x14ac:dyDescent="0.2">
      <c r="A180" s="180"/>
      <c r="B180" s="302" t="s">
        <v>151</v>
      </c>
      <c r="C180" s="196"/>
      <c r="D180" s="180"/>
      <c r="E180" s="303"/>
      <c r="F180" s="303"/>
      <c r="G180" s="303"/>
      <c r="H180" s="304"/>
      <c r="I180" s="305"/>
      <c r="J180" s="305"/>
      <c r="K180" s="280"/>
      <c r="L180" s="280"/>
      <c r="M180" s="280"/>
      <c r="N180" s="280"/>
      <c r="O180" s="280"/>
      <c r="P180" s="275"/>
    </row>
    <row r="181" spans="1:17" x14ac:dyDescent="0.2">
      <c r="A181" s="180"/>
      <c r="B181" s="306" t="s">
        <v>152</v>
      </c>
      <c r="C181" s="307"/>
      <c r="D181" s="307"/>
      <c r="E181" s="307"/>
      <c r="F181" s="307"/>
      <c r="G181" s="307"/>
      <c r="H181" s="307"/>
      <c r="I181" s="308"/>
      <c r="J181" s="308"/>
      <c r="K181" s="309" t="str">
        <f>IF(NOT(ISBLANK(K175)),K168+K177,IF($D$173=$AG$5,"F&amp;A?",SUM(K168+K177)))</f>
        <v>F&amp;A?</v>
      </c>
      <c r="L181" s="309" t="str">
        <f>IF($A$1&gt;1,IF($D$173=$AG$5,"F&amp;A?",SUM(L168+L177)),0)</f>
        <v>F&amp;A?</v>
      </c>
      <c r="M181" s="309" t="str">
        <f>IF($A$1&gt;2,IF($D$173=$AG$5,"F&amp;A?",SUM(M168+M177)),0)</f>
        <v>F&amp;A?</v>
      </c>
      <c r="N181" s="309" t="str">
        <f>IF($A$1&gt;3,IF($D$173=$AG$5,"F&amp;A?",SUM(N168+N177)),0)</f>
        <v>F&amp;A?</v>
      </c>
      <c r="O181" s="309" t="str">
        <f>IF($A$1&gt;4,IF($D$173=$AG$5,"F&amp;A?",SUM(O168+O177)),0)</f>
        <v>F&amp;A?</v>
      </c>
      <c r="P181" s="310" t="str">
        <f>IF($D$173=$AG$5,"F&amp;A?",SUM(K181:O181))</f>
        <v>F&amp;A?</v>
      </c>
      <c r="Q181" s="1" t="s">
        <v>158</v>
      </c>
    </row>
    <row r="182" spans="1:17" x14ac:dyDescent="0.2">
      <c r="B182" s="13"/>
      <c r="C182" s="322"/>
      <c r="D182" s="3"/>
      <c r="E182" s="3"/>
      <c r="F182" s="3"/>
      <c r="G182" s="3"/>
      <c r="H182" s="3"/>
      <c r="I182" s="3"/>
      <c r="J182" s="3"/>
      <c r="K182" s="10"/>
      <c r="L182" s="10"/>
      <c r="M182" s="10"/>
      <c r="N182" s="10"/>
      <c r="O182" s="3"/>
    </row>
    <row r="183" spans="1:17" x14ac:dyDescent="0.2">
      <c r="B183" s="13"/>
      <c r="C183" s="13"/>
      <c r="H183" s="13"/>
      <c r="I183" s="10"/>
      <c r="J183" s="10"/>
      <c r="K183" s="3"/>
      <c r="L183" s="10"/>
      <c r="M183" s="10"/>
      <c r="N183" s="10"/>
      <c r="O183" s="3"/>
    </row>
    <row r="184" spans="1:17" ht="15.75" x14ac:dyDescent="0.25">
      <c r="B184" s="13"/>
      <c r="C184" s="13"/>
      <c r="D184" s="13"/>
      <c r="E184" s="13"/>
      <c r="F184" s="13"/>
      <c r="G184" s="13"/>
      <c r="H184" s="13"/>
      <c r="I184" s="13"/>
      <c r="J184" s="13"/>
      <c r="K184" s="151" t="str">
        <f>$A$1&amp;"-year R&amp;R DC total"</f>
        <v>5-year R&amp;R DC total</v>
      </c>
      <c r="L184" s="152"/>
      <c r="M184" s="153"/>
      <c r="N184" s="154"/>
      <c r="O184" s="154"/>
      <c r="P184" s="155">
        <f>P161</f>
        <v>0</v>
      </c>
    </row>
    <row r="185" spans="1:17" ht="15.75" x14ac:dyDescent="0.25">
      <c r="B185" s="13"/>
      <c r="C185" s="13"/>
      <c r="D185" s="13"/>
      <c r="E185" s="13"/>
      <c r="F185" s="13"/>
      <c r="G185" s="13"/>
      <c r="H185" s="13"/>
      <c r="I185" s="13"/>
      <c r="J185" s="13"/>
      <c r="K185" s="151" t="str">
        <f>$A$1&amp;"-year R&amp;R DC total less Sub F&amp;A"</f>
        <v>5-year R&amp;R DC total less Sub F&amp;A</v>
      </c>
      <c r="L185" s="152"/>
      <c r="M185" s="153"/>
      <c r="N185" s="154"/>
      <c r="O185" s="154"/>
      <c r="P185" s="155">
        <f>P163</f>
        <v>0</v>
      </c>
      <c r="Q185" s="1" t="s">
        <v>276</v>
      </c>
    </row>
    <row r="186" spans="1:17" ht="15.75" x14ac:dyDescent="0.25">
      <c r="B186" s="136" t="s">
        <v>154</v>
      </c>
      <c r="C186" s="145"/>
      <c r="D186" s="140"/>
      <c r="E186" s="140"/>
      <c r="F186" s="141"/>
      <c r="I186" s="158"/>
      <c r="J186" s="158"/>
      <c r="K186" s="159" t="str">
        <f>$A$1&amp;"-yr (Modular) Direct Cost less Consortium F&amp;A"</f>
        <v>5-yr (Modular) Direct Cost less Consortium F&amp;A</v>
      </c>
      <c r="L186" s="17"/>
      <c r="M186" s="17"/>
      <c r="N186" s="17"/>
      <c r="O186" s="17"/>
      <c r="P186" s="146">
        <f>P166</f>
        <v>0</v>
      </c>
    </row>
    <row r="187" spans="1:17" ht="15.75" x14ac:dyDescent="0.25">
      <c r="B187" s="142" t="s">
        <v>155</v>
      </c>
      <c r="C187" s="137"/>
      <c r="D187" s="137"/>
      <c r="E187" s="137"/>
      <c r="F187" s="143"/>
      <c r="K187" s="159" t="str">
        <f>$A$1&amp;"-yr Consortium F&amp;A"</f>
        <v>5-yr Consortium F&amp;A</v>
      </c>
      <c r="L187" s="17"/>
      <c r="M187" s="17"/>
      <c r="N187" s="17"/>
      <c r="O187" s="17"/>
      <c r="P187" s="146">
        <f>P162</f>
        <v>0</v>
      </c>
    </row>
    <row r="188" spans="1:17" ht="15.75" x14ac:dyDescent="0.25">
      <c r="B188" s="138" t="s">
        <v>156</v>
      </c>
      <c r="C188" s="139"/>
      <c r="D188" s="139"/>
      <c r="E188" s="139"/>
      <c r="F188" s="144"/>
      <c r="G188" s="2"/>
      <c r="I188" s="150" t="s">
        <v>162</v>
      </c>
      <c r="J188" s="150"/>
      <c r="K188" s="157" t="str">
        <f>$A$1&amp;"-yr Total (Modular) Direct Costs"</f>
        <v>5-yr Total (Modular) Direct Costs</v>
      </c>
      <c r="L188" s="25"/>
      <c r="M188" s="25"/>
      <c r="N188" s="25"/>
      <c r="O188" s="25"/>
      <c r="P188" s="156">
        <f>P168</f>
        <v>0</v>
      </c>
    </row>
    <row r="190" spans="1:17" ht="15.75" x14ac:dyDescent="0.25">
      <c r="I190" s="150" t="s">
        <v>161</v>
      </c>
      <c r="J190" s="150"/>
      <c r="K190" s="157" t="str">
        <f>$A$1&amp;"-year UO F&amp;A on MTDC Base"</f>
        <v>5-year UO F&amp;A on MTDC Base</v>
      </c>
      <c r="L190" s="25"/>
      <c r="M190" s="25"/>
      <c r="N190" s="25"/>
      <c r="O190" s="25"/>
      <c r="P190" s="160">
        <f>P177</f>
        <v>0</v>
      </c>
    </row>
    <row r="191" spans="1:17" x14ac:dyDescent="0.2">
      <c r="K191" s="162"/>
      <c r="L191" s="163"/>
      <c r="M191" s="163"/>
      <c r="N191" s="163"/>
      <c r="O191" s="163"/>
      <c r="P191" s="164"/>
    </row>
    <row r="192" spans="1:17" ht="15.75" x14ac:dyDescent="0.25">
      <c r="I192" s="150" t="s">
        <v>163</v>
      </c>
      <c r="J192" s="150"/>
      <c r="K192" s="165" t="str">
        <f>$A$1&amp;"-yr Total Funds Requested (A) + (B)"</f>
        <v>5-yr Total Funds Requested (A) + (B)</v>
      </c>
      <c r="L192" s="166"/>
      <c r="M192" s="166"/>
      <c r="N192" s="166"/>
      <c r="O192" s="167"/>
      <c r="P192" s="161" t="str">
        <f>P181</f>
        <v>F&amp;A?</v>
      </c>
    </row>
    <row r="195" spans="2:17" ht="13.5" thickBot="1" x14ac:dyDescent="0.25"/>
    <row r="196" spans="2:17" ht="14.25" thickTop="1" thickBot="1" x14ac:dyDescent="0.25">
      <c r="M196" s="1" t="s">
        <v>278</v>
      </c>
      <c r="P196" s="147">
        <f>ROUND((P185/$A$1),0)</f>
        <v>0</v>
      </c>
      <c r="Q196" s="1" t="s">
        <v>280</v>
      </c>
    </row>
    <row r="197" spans="2:17" ht="13.5" thickTop="1" x14ac:dyDescent="0.2">
      <c r="M197" s="1" t="s">
        <v>279</v>
      </c>
    </row>
    <row r="199" spans="2:17" ht="13.5" thickBot="1" x14ac:dyDescent="0.25">
      <c r="B199" s="12"/>
    </row>
    <row r="200" spans="2:17" ht="14.25" thickTop="1" thickBot="1" x14ac:dyDescent="0.25">
      <c r="M200" s="1" t="s">
        <v>157</v>
      </c>
      <c r="P200" s="147">
        <f>ROUNDUP(P196/25000,0)</f>
        <v>0</v>
      </c>
      <c r="Q200" s="148" t="str">
        <f>IF(P200&gt;=11,"ERROR: Annual Direct Cost Greater than $250,000","OK")</f>
        <v>OK</v>
      </c>
    </row>
    <row r="203" spans="2:17" x14ac:dyDescent="0.2">
      <c r="B203" s="348" t="s">
        <v>84</v>
      </c>
      <c r="C203" s="346">
        <f>U14-1</f>
        <v>3.0000000000000027E-2</v>
      </c>
      <c r="D203" s="344"/>
      <c r="E203" s="344"/>
      <c r="F203" s="344"/>
      <c r="G203" s="344"/>
      <c r="H203" s="344"/>
      <c r="I203" s="344"/>
      <c r="J203" s="344"/>
      <c r="K203" s="345"/>
    </row>
    <row r="204" spans="2:17" x14ac:dyDescent="0.2">
      <c r="B204" s="2" t="s">
        <v>204</v>
      </c>
      <c r="C204" s="321">
        <f>U13-1</f>
        <v>4.0000000000000036E-2</v>
      </c>
      <c r="D204" s="13"/>
      <c r="E204" s="13"/>
      <c r="F204" s="13"/>
      <c r="G204" s="13"/>
      <c r="H204" s="13"/>
      <c r="I204" s="13"/>
      <c r="J204" s="13"/>
      <c r="K204" s="337"/>
    </row>
    <row r="206" spans="2:17" ht="13.5" x14ac:dyDescent="0.25">
      <c r="B206" s="341" t="s">
        <v>211</v>
      </c>
      <c r="C206" s="346"/>
      <c r="D206" s="344"/>
      <c r="E206" s="344"/>
      <c r="F206" s="344"/>
      <c r="G206" s="344"/>
      <c r="H206" s="344"/>
      <c r="I206" s="344"/>
      <c r="J206" s="344"/>
      <c r="K206" s="345"/>
    </row>
    <row r="207" spans="2:17" x14ac:dyDescent="0.2">
      <c r="B207" s="2" t="s">
        <v>93</v>
      </c>
      <c r="C207" s="321">
        <f>IF($R$8="Y",AF10-1,0)</f>
        <v>2.6999999999999913E-2</v>
      </c>
      <c r="K207" s="336"/>
    </row>
    <row r="208" spans="2:17" x14ac:dyDescent="0.2">
      <c r="B208" s="2" t="s">
        <v>92</v>
      </c>
      <c r="C208" s="321">
        <f>IF($R$8="Y",AF11-1,0)</f>
        <v>2.6999999999999913E-2</v>
      </c>
      <c r="K208" s="336"/>
    </row>
    <row r="209" spans="2:11" x14ac:dyDescent="0.2">
      <c r="B209" s="338" t="s">
        <v>166</v>
      </c>
      <c r="C209" s="347">
        <f>IF($R$8="Y",AF12-1,0)</f>
        <v>2.6999999999999913E-2</v>
      </c>
      <c r="D209" s="339"/>
      <c r="E209" s="339"/>
      <c r="F209" s="339"/>
      <c r="G209" s="339"/>
      <c r="H209" s="339"/>
      <c r="I209" s="339"/>
      <c r="J209" s="339"/>
      <c r="K209" s="340"/>
    </row>
    <row r="210" spans="2:11" ht="13.5" x14ac:dyDescent="0.25">
      <c r="B210" s="349" t="s">
        <v>212</v>
      </c>
      <c r="C210" s="321">
        <f>IF($R$8="Y",AF6-1,0)</f>
        <v>2.9400000000000093E-2</v>
      </c>
      <c r="K210" s="336"/>
    </row>
    <row r="211" spans="2:11" ht="13.5" x14ac:dyDescent="0.25">
      <c r="B211" s="349" t="s">
        <v>213</v>
      </c>
      <c r="C211" s="321">
        <f>IF($R$8="Y",AF7-1,0)</f>
        <v>2.9800000000000049E-2</v>
      </c>
      <c r="K211" s="336"/>
    </row>
    <row r="212" spans="2:11" ht="13.5" x14ac:dyDescent="0.25">
      <c r="B212" s="349" t="s">
        <v>214</v>
      </c>
      <c r="C212" s="321">
        <f>IF($R$8="Y",AF8-1,0)</f>
        <v>5.2000000000000046E-2</v>
      </c>
      <c r="K212" s="336"/>
    </row>
    <row r="213" spans="2:11" x14ac:dyDescent="0.2">
      <c r="B213" s="342" t="s">
        <v>125</v>
      </c>
      <c r="C213" s="343"/>
      <c r="D213" s="344"/>
      <c r="E213" s="344"/>
      <c r="F213" s="344"/>
      <c r="G213" s="344"/>
      <c r="H213" s="344"/>
      <c r="I213" s="344"/>
      <c r="J213" s="344"/>
      <c r="K213" s="345"/>
    </row>
    <row r="214" spans="2:11" x14ac:dyDescent="0.2">
      <c r="B214" s="2" t="s">
        <v>126</v>
      </c>
      <c r="K214" s="336"/>
    </row>
    <row r="215" spans="2:11" x14ac:dyDescent="0.2">
      <c r="B215" s="2" t="s">
        <v>127</v>
      </c>
      <c r="K215" s="336"/>
    </row>
    <row r="216" spans="2:11" x14ac:dyDescent="0.2">
      <c r="B216" s="2" t="s">
        <v>167</v>
      </c>
      <c r="K216" s="336"/>
    </row>
    <row r="217" spans="2:11" x14ac:dyDescent="0.2">
      <c r="B217" s="2" t="s">
        <v>168</v>
      </c>
      <c r="K217" s="336"/>
    </row>
    <row r="218" spans="2:11" x14ac:dyDescent="0.2">
      <c r="B218" s="2" t="s">
        <v>169</v>
      </c>
      <c r="K218" s="336"/>
    </row>
    <row r="219" spans="2:11" x14ac:dyDescent="0.2">
      <c r="B219" s="2" t="s">
        <v>170</v>
      </c>
      <c r="K219" s="336"/>
    </row>
    <row r="220" spans="2:11" x14ac:dyDescent="0.2">
      <c r="B220" s="338"/>
      <c r="C220" s="339"/>
      <c r="D220" s="339"/>
      <c r="E220" s="339"/>
      <c r="F220" s="339"/>
      <c r="G220" s="339"/>
      <c r="H220" s="339"/>
      <c r="I220" s="339"/>
      <c r="J220" s="339"/>
      <c r="K220" s="340"/>
    </row>
  </sheetData>
  <mergeCells count="1">
    <mergeCell ref="D173:F173"/>
  </mergeCells>
  <conditionalFormatting sqref="B2:C2">
    <cfRule type="cellIs" dxfId="4" priority="5" stopIfTrue="1" operator="greaterThan">
      <formula>""""""</formula>
    </cfRule>
  </conditionalFormatting>
  <conditionalFormatting sqref="C12:C22">
    <cfRule type="expression" dxfId="3" priority="4" stopIfTrue="1">
      <formula>$B12=""</formula>
    </cfRule>
  </conditionalFormatting>
  <conditionalFormatting sqref="C25:C30">
    <cfRule type="expression" dxfId="2" priority="1" stopIfTrue="1">
      <formula>$B25=""</formula>
    </cfRule>
  </conditionalFormatting>
  <conditionalFormatting sqref="I177:J180">
    <cfRule type="expression" dxfId="1" priority="6" stopIfTrue="1">
      <formula>NOT(ISNONTEXT(#REF!))</formula>
    </cfRule>
    <cfRule type="expression" dxfId="0" priority="7" stopIfTrue="1">
      <formula>ISNONTEXT(#REF!)</formula>
    </cfRule>
  </conditionalFormatting>
  <dataValidations count="3">
    <dataValidation type="list" showInputMessage="1" showErrorMessage="1" sqref="B47 B40" xr:uid="{F57389B1-649B-46CA-9331-60DA24B9F048}">
      <formula1>"GTF I or II,GTF III"</formula1>
    </dataValidation>
    <dataValidation type="list" allowBlank="1" showInputMessage="1" showErrorMessage="1" sqref="D173:F173" xr:uid="{B7AF0295-A281-4A85-882C-FDC3D4FCC590}">
      <formula1>$AG$5:$AG$11</formula1>
    </dataValidation>
    <dataValidation type="list" showInputMessage="1" showErrorMessage="1" sqref="C12:C22" xr:uid="{6D179EB8-35A5-4720-8693-7418CB50AEF6}">
      <formula1>$AJ$5:$AJ$13</formula1>
    </dataValidation>
  </dataValidations>
  <printOptions horizontalCentered="1" gridLines="1" gridLinesSet="0"/>
  <pageMargins left="0.5" right="0.5" top="1" bottom="1" header="0.5" footer="0.5"/>
  <pageSetup scale="46" fitToHeight="4" orientation="portrait" horizontalDpi="4294967292" r:id="rId1"/>
  <headerFooter alignWithMargins="0">
    <oddFooter>Page &amp;p</oddFooter>
  </headerFooter>
  <rowBreaks count="1" manualBreakCount="1">
    <brk id="83" max="14" man="1"/>
  </rowBreaks>
  <ignoredErrors>
    <ignoredError sqref="L5:O6 K48:P48 P125:P136 K137:P142 L181:P181 B2 B4 K176:P176 K99:P99 K123:P123 I64:I65 K12:P22 D26:I30 K25:P31 K34:P45 L32:P33 K78:P82 P76 K143:P144 K159:P159 J52:J62 K75:P75 J75:J76 K52:P65 J73:P74 B52:C62 B66:C71 P66:P71 C25:C30 E15:I22 J66:O72 K164:P165 P163 K167:P167 L166:P166 K77:L77 O77:P77 L146 M145:P145 O146:P146 N147:P147 K177:P177 K169:P170 L168:P168 P171" unlockedFormula="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8D3A1-9B93-4BCD-B4EB-5C43BB5B6C90}">
  <sheetPr>
    <tabColor rgb="FF66FFFF"/>
  </sheetPr>
  <dimension ref="A1:Q34"/>
  <sheetViews>
    <sheetView topLeftCell="C1" workbookViewId="0">
      <selection activeCell="E21" sqref="E21"/>
    </sheetView>
  </sheetViews>
  <sheetFormatPr defaultColWidth="9.140625" defaultRowHeight="12.75" x14ac:dyDescent="0.2"/>
  <cols>
    <col min="1" max="1" width="11.42578125" style="32" customWidth="1"/>
    <col min="2" max="8" width="9.140625" style="32"/>
    <col min="9" max="9" width="6.42578125" style="32" customWidth="1"/>
    <col min="10" max="12" width="9.140625" style="32"/>
    <col min="13" max="13" width="28.42578125" style="32" customWidth="1"/>
    <col min="14" max="16384" width="9.140625" style="32"/>
  </cols>
  <sheetData>
    <row r="1" spans="1:17" x14ac:dyDescent="0.2">
      <c r="A1" s="26"/>
      <c r="B1" s="27"/>
      <c r="C1" s="27"/>
      <c r="D1" s="28" t="s">
        <v>62</v>
      </c>
      <c r="E1" s="27"/>
      <c r="F1" s="27"/>
      <c r="G1" s="27"/>
      <c r="H1" s="29"/>
      <c r="I1" s="30"/>
      <c r="J1" s="30"/>
      <c r="K1" s="30"/>
      <c r="L1" s="30"/>
      <c r="M1" s="30"/>
      <c r="N1" s="30"/>
      <c r="O1" s="30"/>
      <c r="P1" s="30"/>
      <c r="Q1" s="31"/>
    </row>
    <row r="2" spans="1:17" x14ac:dyDescent="0.2">
      <c r="A2" s="33"/>
      <c r="B2" s="34"/>
      <c r="C2"/>
      <c r="D2" s="34"/>
      <c r="E2" s="35"/>
      <c r="F2" s="34"/>
      <c r="G2" s="36"/>
      <c r="H2" s="37"/>
      <c r="Q2" s="31"/>
    </row>
    <row r="3" spans="1:17" x14ac:dyDescent="0.2">
      <c r="A3" s="38" t="s">
        <v>63</v>
      </c>
      <c r="B3" s="39"/>
      <c r="C3" s="39"/>
      <c r="D3" s="39"/>
      <c r="E3" s="39"/>
      <c r="F3" s="39"/>
      <c r="G3" s="39"/>
      <c r="H3" s="40"/>
    </row>
    <row r="4" spans="1:17" x14ac:dyDescent="0.2">
      <c r="A4" s="38" t="s">
        <v>64</v>
      </c>
      <c r="B4"/>
      <c r="C4"/>
      <c r="D4"/>
      <c r="E4"/>
      <c r="F4"/>
      <c r="G4"/>
      <c r="H4" s="41"/>
    </row>
    <row r="5" spans="1:17" x14ac:dyDescent="0.2">
      <c r="A5" s="33"/>
      <c r="B5" s="35"/>
      <c r="C5" s="35"/>
      <c r="D5" s="35"/>
      <c r="E5" s="35"/>
      <c r="F5" s="35"/>
      <c r="G5" s="35"/>
      <c r="H5" s="37"/>
    </row>
    <row r="6" spans="1:17" x14ac:dyDescent="0.2">
      <c r="A6" s="42" t="s">
        <v>65</v>
      </c>
      <c r="B6" s="43"/>
      <c r="C6" s="43"/>
      <c r="D6" s="43" t="s">
        <v>66</v>
      </c>
      <c r="E6" s="43"/>
      <c r="F6" s="44"/>
      <c r="G6" s="43" t="s">
        <v>67</v>
      </c>
      <c r="H6" s="45"/>
      <c r="I6" s="46"/>
    </row>
    <row r="7" spans="1:17" x14ac:dyDescent="0.2">
      <c r="A7" s="47" t="s">
        <v>68</v>
      </c>
      <c r="B7" s="48"/>
      <c r="C7" s="43"/>
      <c r="D7" s="48" t="s">
        <v>69</v>
      </c>
      <c r="E7" s="48"/>
      <c r="F7" s="49"/>
      <c r="G7" s="48" t="s">
        <v>70</v>
      </c>
      <c r="H7" s="50"/>
      <c r="I7" s="30"/>
      <c r="J7" s="30"/>
      <c r="K7" s="30"/>
      <c r="L7" s="30"/>
      <c r="M7" s="30"/>
      <c r="N7" s="30"/>
      <c r="O7" s="30"/>
      <c r="P7" s="30"/>
      <c r="Q7" s="31"/>
    </row>
    <row r="8" spans="1:17" x14ac:dyDescent="0.2">
      <c r="A8" s="49"/>
      <c r="B8" s="49"/>
      <c r="C8" s="49"/>
      <c r="D8" s="49"/>
      <c r="E8" s="49"/>
      <c r="F8" s="49"/>
      <c r="G8" s="49"/>
      <c r="H8" s="51"/>
      <c r="I8" s="30"/>
      <c r="J8" s="52" t="s">
        <v>71</v>
      </c>
      <c r="K8" s="52" t="s">
        <v>72</v>
      </c>
      <c r="L8" s="52" t="s">
        <v>73</v>
      </c>
      <c r="M8" s="39"/>
      <c r="N8" s="30"/>
      <c r="O8" s="30"/>
      <c r="P8" s="30"/>
      <c r="Q8" s="31"/>
    </row>
    <row r="9" spans="1:17" x14ac:dyDescent="0.2">
      <c r="A9" s="53" t="s">
        <v>74</v>
      </c>
      <c r="B9" s="54" t="s">
        <v>75</v>
      </c>
      <c r="C9" s="54"/>
      <c r="D9" s="53" t="s">
        <v>74</v>
      </c>
      <c r="E9" s="54" t="s">
        <v>76</v>
      </c>
      <c r="F9" s="44"/>
      <c r="G9" s="53" t="s">
        <v>74</v>
      </c>
      <c r="H9" s="55" t="s">
        <v>76</v>
      </c>
      <c r="J9" s="56">
        <f>B10/12</f>
        <v>8.3333333333333329E-2</v>
      </c>
      <c r="K9" s="57">
        <f>E10/12</f>
        <v>8.3333333333333329E-2</v>
      </c>
      <c r="L9" s="57">
        <f>H10/12</f>
        <v>8.3333333333333329E-2</v>
      </c>
      <c r="M9" t="s">
        <v>77</v>
      </c>
      <c r="N9" s="58"/>
      <c r="O9" s="30"/>
      <c r="P9" s="30"/>
      <c r="Q9" s="31"/>
    </row>
    <row r="10" spans="1:17" x14ac:dyDescent="0.2">
      <c r="A10" s="59">
        <f>1/3</f>
        <v>0.33333333333333331</v>
      </c>
      <c r="B10" s="60">
        <f>A10*3</f>
        <v>1</v>
      </c>
      <c r="C10" s="61"/>
      <c r="D10" s="62">
        <f>1/9</f>
        <v>0.1111111111111111</v>
      </c>
      <c r="E10" s="63">
        <f>D10*9</f>
        <v>1</v>
      </c>
      <c r="F10" s="64"/>
      <c r="G10" s="62">
        <f>1/12</f>
        <v>8.3333333333333329E-2</v>
      </c>
      <c r="H10" s="65">
        <f>G10*12</f>
        <v>1</v>
      </c>
      <c r="I10" s="46"/>
      <c r="J10" s="66">
        <f>J9</f>
        <v>8.3333333333333329E-2</v>
      </c>
      <c r="K10" s="66">
        <f>K9</f>
        <v>8.3333333333333329E-2</v>
      </c>
      <c r="L10" s="66">
        <f>L9</f>
        <v>8.3333333333333329E-2</v>
      </c>
      <c r="M10" t="s">
        <v>78</v>
      </c>
    </row>
    <row r="11" spans="1:17" ht="13.5" thickBot="1" x14ac:dyDescent="0.25">
      <c r="A11" s="67"/>
      <c r="B11" s="68"/>
      <c r="C11" s="68"/>
      <c r="D11" s="69"/>
      <c r="E11" s="68"/>
      <c r="F11" s="69"/>
      <c r="G11" s="69"/>
      <c r="H11" s="70"/>
      <c r="I11" s="46"/>
    </row>
    <row r="12" spans="1:17" x14ac:dyDescent="0.2">
      <c r="A12" s="33"/>
      <c r="B12" s="35"/>
      <c r="C12" s="35"/>
      <c r="D12" s="35"/>
      <c r="E12" s="71"/>
      <c r="F12" s="35"/>
      <c r="G12" s="35"/>
      <c r="H12" s="72"/>
      <c r="I12" s="46"/>
    </row>
    <row r="13" spans="1:17" x14ac:dyDescent="0.2">
      <c r="A13" s="73"/>
      <c r="B13" s="74"/>
      <c r="C13" s="74"/>
      <c r="D13" s="75"/>
      <c r="E13" s="75"/>
      <c r="F13" s="75"/>
      <c r="G13" s="75"/>
      <c r="H13" s="76"/>
      <c r="I13" s="46"/>
    </row>
    <row r="14" spans="1:17" x14ac:dyDescent="0.2">
      <c r="A14" s="38" t="s">
        <v>79</v>
      </c>
      <c r="B14" s="39"/>
      <c r="C14" s="39"/>
      <c r="D14" s="39"/>
      <c r="E14" s="39"/>
      <c r="F14" s="39"/>
      <c r="G14" s="39"/>
      <c r="H14" s="40"/>
      <c r="I14" s="46"/>
      <c r="K14" s="32" t="s">
        <v>30</v>
      </c>
      <c r="L14" s="32" t="s">
        <v>30</v>
      </c>
    </row>
    <row r="15" spans="1:17" x14ac:dyDescent="0.2">
      <c r="A15" s="38" t="s">
        <v>80</v>
      </c>
      <c r="B15"/>
      <c r="C15"/>
      <c r="D15"/>
      <c r="E15"/>
      <c r="F15"/>
      <c r="G15"/>
      <c r="H15" s="41"/>
      <c r="I15" s="46"/>
    </row>
    <row r="16" spans="1:17" x14ac:dyDescent="0.2">
      <c r="A16" s="33"/>
      <c r="B16" s="71"/>
      <c r="C16" s="71"/>
      <c r="D16" s="35"/>
      <c r="E16" s="35"/>
      <c r="F16" s="35"/>
      <c r="G16" s="35"/>
      <c r="H16" s="37"/>
      <c r="I16" s="46"/>
    </row>
    <row r="17" spans="1:13" x14ac:dyDescent="0.2">
      <c r="A17" s="459" t="s">
        <v>65</v>
      </c>
      <c r="B17" s="460"/>
      <c r="C17" s="43"/>
      <c r="D17" s="460" t="s">
        <v>66</v>
      </c>
      <c r="E17" s="460"/>
      <c r="F17" s="44"/>
      <c r="G17" s="460" t="s">
        <v>67</v>
      </c>
      <c r="H17" s="461"/>
      <c r="I17" s="46"/>
    </row>
    <row r="18" spans="1:13" x14ac:dyDescent="0.2">
      <c r="A18" s="462" t="s">
        <v>68</v>
      </c>
      <c r="B18" s="463"/>
      <c r="C18" s="43"/>
      <c r="D18" s="463" t="s">
        <v>69</v>
      </c>
      <c r="E18" s="463"/>
      <c r="F18" s="49"/>
      <c r="G18" s="463" t="s">
        <v>70</v>
      </c>
      <c r="H18" s="464"/>
      <c r="I18" s="46"/>
    </row>
    <row r="19" spans="1:13" x14ac:dyDescent="0.2">
      <c r="A19" s="77"/>
      <c r="B19" s="49"/>
      <c r="C19" s="49"/>
      <c r="D19" s="49"/>
      <c r="E19" s="49"/>
      <c r="F19" s="49"/>
      <c r="G19" s="49"/>
      <c r="H19" s="51"/>
      <c r="I19" s="46"/>
      <c r="J19" s="52" t="s">
        <v>71</v>
      </c>
      <c r="K19" s="52" t="s">
        <v>72</v>
      </c>
      <c r="L19" s="52" t="s">
        <v>73</v>
      </c>
      <c r="M19"/>
    </row>
    <row r="20" spans="1:13" x14ac:dyDescent="0.2">
      <c r="A20" s="78" t="s">
        <v>81</v>
      </c>
      <c r="B20" s="53" t="s">
        <v>74</v>
      </c>
      <c r="C20" s="79"/>
      <c r="D20" s="80" t="s">
        <v>81</v>
      </c>
      <c r="E20" s="53" t="s">
        <v>74</v>
      </c>
      <c r="F20" s="81"/>
      <c r="G20" s="80" t="s">
        <v>81</v>
      </c>
      <c r="H20" s="82" t="s">
        <v>74</v>
      </c>
      <c r="I20" s="46"/>
      <c r="J20" s="56">
        <f>A21/12</f>
        <v>8.3333333333333329E-2</v>
      </c>
      <c r="K20" s="57">
        <f>D21/12</f>
        <v>8.3333333333333329E-2</v>
      </c>
      <c r="L20" s="57">
        <f>G21/12</f>
        <v>8.3333333333333329E-2</v>
      </c>
      <c r="M20" t="s">
        <v>77</v>
      </c>
    </row>
    <row r="21" spans="1:13" x14ac:dyDescent="0.2">
      <c r="A21" s="83">
        <v>1</v>
      </c>
      <c r="B21" s="84">
        <f>A21/3</f>
        <v>0.33333333333333331</v>
      </c>
      <c r="C21" s="61"/>
      <c r="D21" s="85">
        <v>1</v>
      </c>
      <c r="E21" s="86">
        <f>D21/9</f>
        <v>0.1111111111111111</v>
      </c>
      <c r="F21" s="64"/>
      <c r="G21" s="85">
        <v>1</v>
      </c>
      <c r="H21" s="87">
        <f>G21/12</f>
        <v>8.3333333333333329E-2</v>
      </c>
      <c r="I21" s="46"/>
      <c r="J21" s="66">
        <f>J20</f>
        <v>8.3333333333333329E-2</v>
      </c>
      <c r="K21" s="66">
        <f>K20</f>
        <v>8.3333333333333329E-2</v>
      </c>
      <c r="L21" s="66">
        <f>L20</f>
        <v>8.3333333333333329E-2</v>
      </c>
      <c r="M21" t="s">
        <v>78</v>
      </c>
    </row>
    <row r="22" spans="1:13" ht="13.5" thickBot="1" x14ac:dyDescent="0.25">
      <c r="A22" s="67"/>
      <c r="B22" s="68"/>
      <c r="C22" s="68"/>
      <c r="D22" s="69"/>
      <c r="E22" s="68"/>
      <c r="F22" s="69"/>
      <c r="G22" s="69"/>
      <c r="H22" s="70"/>
      <c r="I22" s="88"/>
    </row>
    <row r="23" spans="1:13" x14ac:dyDescent="0.2">
      <c r="I23" s="88"/>
    </row>
    <row r="24" spans="1:13" x14ac:dyDescent="0.2">
      <c r="I24" s="88"/>
    </row>
    <row r="25" spans="1:13" x14ac:dyDescent="0.2">
      <c r="I25" s="88"/>
    </row>
    <row r="26" spans="1:13" x14ac:dyDescent="0.2">
      <c r="I26" s="89"/>
    </row>
    <row r="27" spans="1:13" x14ac:dyDescent="0.2">
      <c r="I27" s="89"/>
    </row>
    <row r="28" spans="1:13" x14ac:dyDescent="0.2">
      <c r="I28" s="89"/>
    </row>
    <row r="29" spans="1:13" x14ac:dyDescent="0.2">
      <c r="I29" s="89"/>
    </row>
    <row r="30" spans="1:13" x14ac:dyDescent="0.2">
      <c r="I30" s="89"/>
    </row>
    <row r="31" spans="1:13" x14ac:dyDescent="0.2">
      <c r="I31" s="89"/>
    </row>
    <row r="32" spans="1:13" x14ac:dyDescent="0.2">
      <c r="I32" s="89"/>
    </row>
    <row r="33" spans="1:9" x14ac:dyDescent="0.2">
      <c r="I33" s="89"/>
    </row>
    <row r="34" spans="1:9" x14ac:dyDescent="0.2">
      <c r="A34" s="46"/>
      <c r="B34" s="89"/>
      <c r="C34" s="89"/>
      <c r="D34" s="46"/>
      <c r="E34" s="46"/>
      <c r="F34" s="46"/>
      <c r="G34" s="46"/>
      <c r="H34" s="46"/>
      <c r="I34" s="89"/>
    </row>
  </sheetData>
  <mergeCells count="6">
    <mergeCell ref="A17:B17"/>
    <mergeCell ref="D17:E17"/>
    <mergeCell ref="G17:H17"/>
    <mergeCell ref="A18:B18"/>
    <mergeCell ref="D18:E18"/>
    <mergeCell ref="G18:H18"/>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6AE72-DA5F-44F8-ABF4-86A8EC490936}">
  <sheetPr>
    <tabColor theme="9" tint="-0.249977111117893"/>
  </sheetPr>
  <dimension ref="A1:I29"/>
  <sheetViews>
    <sheetView workbookViewId="0">
      <selection activeCell="C4" sqref="C4"/>
    </sheetView>
  </sheetViews>
  <sheetFormatPr defaultRowHeight="12.75" x14ac:dyDescent="0.2"/>
  <cols>
    <col min="1" max="1" width="17.28515625" customWidth="1"/>
    <col min="2" max="2" width="51.42578125" customWidth="1"/>
    <col min="3" max="3" width="25.42578125" customWidth="1"/>
    <col min="4" max="8" width="13.85546875" customWidth="1"/>
    <col min="9" max="9" width="11.42578125" customWidth="1"/>
  </cols>
  <sheetData>
    <row r="1" spans="1:9" ht="15.75" x14ac:dyDescent="0.25">
      <c r="A1" s="465" t="s">
        <v>97</v>
      </c>
      <c r="B1" s="466"/>
      <c r="C1" s="466"/>
      <c r="D1" s="466"/>
      <c r="E1" s="466"/>
      <c r="F1" s="466"/>
      <c r="G1" s="466"/>
      <c r="H1" s="466"/>
      <c r="I1" s="467"/>
    </row>
    <row r="2" spans="1:9" x14ac:dyDescent="0.2">
      <c r="A2" s="95"/>
      <c r="C2" s="96"/>
      <c r="D2" s="97"/>
      <c r="F2" s="98"/>
      <c r="G2" s="98"/>
      <c r="H2" s="1"/>
      <c r="I2" s="99"/>
    </row>
    <row r="3" spans="1:9" x14ac:dyDescent="0.2">
      <c r="A3" s="100" t="s">
        <v>98</v>
      </c>
      <c r="B3" s="101" t="s">
        <v>99</v>
      </c>
      <c r="C3" s="102">
        <v>228000</v>
      </c>
      <c r="D3" s="133">
        <f>C3/12*9</f>
        <v>171000</v>
      </c>
      <c r="E3" s="133" t="s">
        <v>94</v>
      </c>
      <c r="F3" s="133">
        <f>D3/3</f>
        <v>57000</v>
      </c>
      <c r="G3" s="133" t="s">
        <v>225</v>
      </c>
      <c r="H3" s="96"/>
      <c r="I3" s="99"/>
    </row>
    <row r="4" spans="1:9" ht="14.45" customHeight="1" x14ac:dyDescent="0.2">
      <c r="A4" s="103"/>
      <c r="B4" s="104"/>
      <c r="C4" s="105"/>
      <c r="D4" s="106"/>
      <c r="F4" s="98"/>
      <c r="G4" s="98"/>
      <c r="H4" s="1"/>
      <c r="I4" s="99"/>
    </row>
    <row r="5" spans="1:9" x14ac:dyDescent="0.2">
      <c r="A5" s="107" t="s">
        <v>100</v>
      </c>
      <c r="B5" s="108" t="s">
        <v>101</v>
      </c>
      <c r="C5" s="109">
        <f>C3/2080</f>
        <v>109.61538461538461</v>
      </c>
      <c r="D5" s="110"/>
      <c r="E5" s="96"/>
      <c r="F5" s="96"/>
      <c r="G5" s="96"/>
      <c r="H5" s="96"/>
      <c r="I5" s="99"/>
    </row>
    <row r="6" spans="1:9" x14ac:dyDescent="0.2">
      <c r="A6" s="103"/>
      <c r="B6" s="104"/>
      <c r="C6" s="105"/>
      <c r="D6" s="106" t="s">
        <v>30</v>
      </c>
      <c r="F6" s="98"/>
      <c r="G6" s="98"/>
      <c r="H6" s="1"/>
      <c r="I6" s="99"/>
    </row>
    <row r="7" spans="1:9" x14ac:dyDescent="0.2">
      <c r="A7" s="100" t="s">
        <v>102</v>
      </c>
      <c r="B7" s="101" t="s">
        <v>103</v>
      </c>
      <c r="C7" s="111">
        <v>9</v>
      </c>
      <c r="D7" s="106"/>
      <c r="F7" s="98"/>
      <c r="G7" s="98"/>
      <c r="H7" s="1"/>
      <c r="I7" s="99"/>
    </row>
    <row r="8" spans="1:9" x14ac:dyDescent="0.2">
      <c r="A8" s="100" t="s">
        <v>104</v>
      </c>
      <c r="B8" s="101" t="s">
        <v>105</v>
      </c>
      <c r="C8" s="112">
        <v>169275</v>
      </c>
      <c r="G8" s="98"/>
      <c r="H8" s="1"/>
      <c r="I8" s="99"/>
    </row>
    <row r="9" spans="1:9" ht="14.45" customHeight="1" x14ac:dyDescent="0.2">
      <c r="A9" s="103"/>
      <c r="B9" s="104"/>
      <c r="C9" s="105"/>
      <c r="D9" s="106"/>
      <c r="F9" s="98"/>
      <c r="G9" s="98"/>
      <c r="H9" s="1"/>
      <c r="I9" s="99"/>
    </row>
    <row r="10" spans="1:9" x14ac:dyDescent="0.2">
      <c r="A10" s="103" t="s">
        <v>100</v>
      </c>
      <c r="B10" s="113" t="s">
        <v>106</v>
      </c>
      <c r="C10" s="114">
        <f>IF(C7=12,C8,(C8/9*12))</f>
        <v>225700</v>
      </c>
      <c r="D10" s="115"/>
      <c r="E10" s="115"/>
      <c r="F10" s="98"/>
      <c r="G10" s="98"/>
      <c r="H10" s="1"/>
      <c r="I10" s="99"/>
    </row>
    <row r="11" spans="1:9" x14ac:dyDescent="0.2">
      <c r="A11" s="103" t="s">
        <v>100</v>
      </c>
      <c r="B11" s="113" t="s">
        <v>107</v>
      </c>
      <c r="C11" s="116">
        <f>C8/(173.33*C7)</f>
        <v>108.51170214811823</v>
      </c>
      <c r="D11" s="115"/>
      <c r="E11" s="115"/>
      <c r="F11" s="98"/>
      <c r="G11" s="98"/>
      <c r="H11" s="1"/>
      <c r="I11" s="99"/>
    </row>
    <row r="12" spans="1:9" x14ac:dyDescent="0.2">
      <c r="A12" s="103" t="s">
        <v>100</v>
      </c>
      <c r="B12" s="113" t="s">
        <v>108</v>
      </c>
      <c r="C12" s="117">
        <f>C5/C11</f>
        <v>1.0101710916465014</v>
      </c>
      <c r="D12" s="115"/>
      <c r="E12" s="115"/>
      <c r="F12" s="98"/>
      <c r="G12" s="98"/>
      <c r="H12" s="1"/>
      <c r="I12" s="99"/>
    </row>
    <row r="13" spans="1:9" x14ac:dyDescent="0.2">
      <c r="A13" s="103" t="s">
        <v>100</v>
      </c>
      <c r="B13" s="113" t="s">
        <v>109</v>
      </c>
      <c r="C13" s="117">
        <f>1-C12</f>
        <v>-1.0171091646501429E-2</v>
      </c>
      <c r="D13" s="115"/>
      <c r="E13" s="115"/>
      <c r="F13" s="98"/>
      <c r="G13" s="98"/>
      <c r="H13" s="1"/>
      <c r="I13" s="99"/>
    </row>
    <row r="14" spans="1:9" x14ac:dyDescent="0.2">
      <c r="A14" s="103"/>
      <c r="B14" s="104"/>
      <c r="C14" s="118"/>
      <c r="D14" s="119" t="s">
        <v>110</v>
      </c>
      <c r="E14" s="119" t="s">
        <v>111</v>
      </c>
      <c r="F14" s="119" t="s">
        <v>112</v>
      </c>
      <c r="G14" s="119" t="s">
        <v>113</v>
      </c>
      <c r="H14" s="119" t="s">
        <v>114</v>
      </c>
      <c r="I14" s="99"/>
    </row>
    <row r="15" spans="1:9" x14ac:dyDescent="0.2">
      <c r="A15" s="100" t="s">
        <v>115</v>
      </c>
      <c r="B15" s="120" t="s">
        <v>116</v>
      </c>
      <c r="C15" s="121"/>
      <c r="D15" s="122">
        <v>0</v>
      </c>
      <c r="E15" s="122">
        <v>0</v>
      </c>
      <c r="F15" s="122">
        <v>0</v>
      </c>
      <c r="G15" s="122">
        <v>0</v>
      </c>
      <c r="H15" s="122">
        <v>0</v>
      </c>
      <c r="I15" s="99"/>
    </row>
    <row r="16" spans="1:9" x14ac:dyDescent="0.2">
      <c r="A16" s="103"/>
      <c r="B16" s="104"/>
      <c r="C16" s="118"/>
      <c r="D16" s="123"/>
      <c r="E16" s="124"/>
      <c r="F16" s="125"/>
      <c r="G16" s="125"/>
      <c r="H16" s="126"/>
      <c r="I16" s="99"/>
    </row>
    <row r="17" spans="1:9" x14ac:dyDescent="0.2">
      <c r="A17" s="103" t="s">
        <v>100</v>
      </c>
      <c r="B17" s="104" t="s">
        <v>117</v>
      </c>
      <c r="C17" s="124"/>
      <c r="D17" s="127">
        <f>$C$12*D15</f>
        <v>0</v>
      </c>
      <c r="E17" s="127">
        <f>$C$12*E15</f>
        <v>0</v>
      </c>
      <c r="F17" s="127">
        <f>$C$12*F15</f>
        <v>0</v>
      </c>
      <c r="G17" s="127">
        <f>$C$12*G15</f>
        <v>0</v>
      </c>
      <c r="H17" s="127">
        <f>$C$12*H15</f>
        <v>0</v>
      </c>
      <c r="I17" s="99"/>
    </row>
    <row r="18" spans="1:9" x14ac:dyDescent="0.2">
      <c r="A18" s="103" t="s">
        <v>100</v>
      </c>
      <c r="B18" s="104" t="s">
        <v>118</v>
      </c>
      <c r="C18" s="124"/>
      <c r="D18" s="127">
        <f>$C$13*D15</f>
        <v>0</v>
      </c>
      <c r="E18" s="127">
        <f>$C$13*E15</f>
        <v>0</v>
      </c>
      <c r="F18" s="127">
        <f>$C$13*F15</f>
        <v>0</v>
      </c>
      <c r="G18" s="127">
        <f>$C$13*G15</f>
        <v>0</v>
      </c>
      <c r="H18" s="127">
        <f>$C$13*H15</f>
        <v>0</v>
      </c>
      <c r="I18" s="99"/>
    </row>
    <row r="19" spans="1:9" x14ac:dyDescent="0.2">
      <c r="A19" s="103"/>
      <c r="B19" s="104"/>
      <c r="C19" s="118"/>
      <c r="D19" s="123"/>
      <c r="E19" s="124"/>
      <c r="F19" s="125"/>
      <c r="G19" s="125"/>
      <c r="H19" s="126"/>
      <c r="I19" s="99"/>
    </row>
    <row r="20" spans="1:9" x14ac:dyDescent="0.2">
      <c r="A20" s="103" t="s">
        <v>100</v>
      </c>
      <c r="B20" s="104" t="s">
        <v>119</v>
      </c>
      <c r="C20" s="124"/>
      <c r="D20" s="128">
        <f>D17*$C$10</f>
        <v>0</v>
      </c>
      <c r="E20" s="128">
        <f>E17*$C$10</f>
        <v>0</v>
      </c>
      <c r="F20" s="128">
        <f>F17*$C$10</f>
        <v>0</v>
      </c>
      <c r="G20" s="128">
        <f>G17*$C$10</f>
        <v>0</v>
      </c>
      <c r="H20" s="128">
        <f>H17*$C$10</f>
        <v>0</v>
      </c>
      <c r="I20" s="99"/>
    </row>
    <row r="21" spans="1:9" x14ac:dyDescent="0.2">
      <c r="A21" s="103"/>
      <c r="B21" s="104"/>
      <c r="C21" s="118"/>
      <c r="D21" s="123"/>
      <c r="E21" s="124"/>
      <c r="F21" s="125"/>
      <c r="G21" s="125"/>
      <c r="H21" s="126"/>
      <c r="I21" s="99"/>
    </row>
    <row r="22" spans="1:9" x14ac:dyDescent="0.2">
      <c r="A22" s="103" t="s">
        <v>100</v>
      </c>
      <c r="B22" s="104" t="s">
        <v>120</v>
      </c>
      <c r="C22" s="124"/>
      <c r="D22" s="128">
        <f>D18*$C$10</f>
        <v>0</v>
      </c>
      <c r="E22" s="128">
        <f>E18*$C$10</f>
        <v>0</v>
      </c>
      <c r="F22" s="128">
        <f>F18*$C$10</f>
        <v>0</v>
      </c>
      <c r="G22" s="128">
        <f>G18*$C$10</f>
        <v>0</v>
      </c>
      <c r="H22" s="128">
        <f>H18*$C$10</f>
        <v>0</v>
      </c>
      <c r="I22" s="99"/>
    </row>
    <row r="23" spans="1:9" x14ac:dyDescent="0.2">
      <c r="A23" s="95"/>
      <c r="C23" s="115"/>
      <c r="D23" s="115"/>
      <c r="E23" s="115"/>
      <c r="F23" s="115"/>
      <c r="G23" s="115"/>
      <c r="H23" s="115"/>
      <c r="I23" s="99"/>
    </row>
    <row r="24" spans="1:9" x14ac:dyDescent="0.2">
      <c r="A24" s="468" t="s">
        <v>131</v>
      </c>
      <c r="B24" s="469"/>
      <c r="C24" s="376" t="s">
        <v>259</v>
      </c>
      <c r="D24" s="134"/>
      <c r="E24" s="134"/>
      <c r="F24" s="134"/>
      <c r="G24" s="134"/>
      <c r="H24" s="134"/>
      <c r="I24" s="99"/>
    </row>
    <row r="25" spans="1:9" x14ac:dyDescent="0.2">
      <c r="A25" s="130"/>
      <c r="B25" s="129"/>
      <c r="C25" s="131"/>
      <c r="D25" s="131"/>
      <c r="E25" s="131"/>
      <c r="F25" s="131"/>
      <c r="G25" s="131"/>
      <c r="H25" s="131"/>
      <c r="I25" s="99"/>
    </row>
    <row r="26" spans="1:9" x14ac:dyDescent="0.2">
      <c r="A26" s="470" t="s">
        <v>296</v>
      </c>
      <c r="B26" s="471"/>
      <c r="C26" s="439" t="s">
        <v>295</v>
      </c>
      <c r="D26" s="385"/>
      <c r="E26" s="385"/>
      <c r="F26" s="385"/>
      <c r="G26" s="385"/>
      <c r="H26" s="385"/>
      <c r="I26" s="132"/>
    </row>
    <row r="28" spans="1:9" x14ac:dyDescent="0.2">
      <c r="C28" s="133"/>
    </row>
    <row r="29" spans="1:9" x14ac:dyDescent="0.2">
      <c r="B29" t="s">
        <v>30</v>
      </c>
    </row>
  </sheetData>
  <mergeCells count="3">
    <mergeCell ref="A1:I1"/>
    <mergeCell ref="A24:B24"/>
    <mergeCell ref="A26:B26"/>
  </mergeCells>
  <hyperlinks>
    <hyperlink ref="C24" r:id="rId1" xr:uid="{46FE067F-176D-490A-838F-34AF8C588040}"/>
    <hyperlink ref="C26" r:id="rId2" xr:uid="{B955EA48-AC61-4BE9-98BD-D41BDAFEF21C}"/>
  </hyperlinks>
  <pageMargins left="0.7" right="0.7" top="0.75" bottom="0.75" header="0.3" footer="0.3"/>
  <pageSetup orientation="portrait"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7DF12-53AC-4502-A926-CFA14835250B}">
  <sheetPr>
    <tabColor theme="9" tint="0.59999389629810485"/>
  </sheetPr>
  <dimension ref="A1:M32"/>
  <sheetViews>
    <sheetView topLeftCell="B1" workbookViewId="0">
      <selection activeCell="I28" sqref="I28"/>
    </sheetView>
  </sheetViews>
  <sheetFormatPr defaultRowHeight="12.75" x14ac:dyDescent="0.2"/>
  <cols>
    <col min="1" max="1" width="13.5703125" hidden="1" customWidth="1"/>
    <col min="4" max="8" width="12.7109375" customWidth="1"/>
    <col min="9" max="10" width="26.7109375" customWidth="1"/>
  </cols>
  <sheetData>
    <row r="1" spans="1:13" ht="26.25" customHeight="1" x14ac:dyDescent="0.2">
      <c r="A1" s="169"/>
      <c r="B1" s="169"/>
      <c r="C1" s="169"/>
      <c r="D1" s="169"/>
      <c r="E1" s="316" t="s">
        <v>172</v>
      </c>
      <c r="F1" s="316" t="s">
        <v>173</v>
      </c>
      <c r="G1" s="316" t="s">
        <v>174</v>
      </c>
      <c r="H1" s="316" t="s">
        <v>175</v>
      </c>
      <c r="I1" s="316" t="s">
        <v>176</v>
      </c>
      <c r="J1" s="316" t="s">
        <v>177</v>
      </c>
    </row>
    <row r="2" spans="1:13" hidden="1" x14ac:dyDescent="0.2">
      <c r="A2" s="311"/>
      <c r="B2" s="169"/>
      <c r="C2" s="169"/>
      <c r="D2" s="169"/>
      <c r="E2" s="315"/>
      <c r="F2" s="315"/>
      <c r="G2" s="315"/>
      <c r="H2" s="315"/>
      <c r="I2" s="315"/>
      <c r="J2" s="315"/>
    </row>
    <row r="3" spans="1:13" hidden="1" x14ac:dyDescent="0.2">
      <c r="A3" s="312"/>
      <c r="B3" s="169">
        <v>0</v>
      </c>
      <c r="C3" s="313">
        <v>30498</v>
      </c>
      <c r="D3" s="314">
        <v>30863</v>
      </c>
      <c r="E3" s="317">
        <v>45</v>
      </c>
      <c r="F3" s="317">
        <v>31.4</v>
      </c>
      <c r="G3" s="317">
        <v>55</v>
      </c>
      <c r="H3" s="317"/>
      <c r="I3" s="317">
        <v>32</v>
      </c>
      <c r="J3" s="317"/>
    </row>
    <row r="4" spans="1:13" hidden="1" x14ac:dyDescent="0.2">
      <c r="A4" s="313"/>
      <c r="B4" s="169">
        <v>0</v>
      </c>
      <c r="C4" s="313">
        <v>30864</v>
      </c>
      <c r="D4" s="314">
        <v>31228</v>
      </c>
      <c r="E4" s="317">
        <v>41</v>
      </c>
      <c r="F4" s="317">
        <v>25.7</v>
      </c>
      <c r="G4" s="317">
        <v>55</v>
      </c>
      <c r="H4" s="317"/>
      <c r="I4" s="317">
        <v>32</v>
      </c>
      <c r="J4" s="317"/>
    </row>
    <row r="5" spans="1:13" hidden="1" x14ac:dyDescent="0.2">
      <c r="A5" s="169"/>
      <c r="B5" s="169">
        <v>0</v>
      </c>
      <c r="C5" s="313">
        <v>31229</v>
      </c>
      <c r="D5" s="314">
        <v>31593</v>
      </c>
      <c r="E5" s="317">
        <v>41</v>
      </c>
      <c r="F5" s="317">
        <v>25</v>
      </c>
      <c r="G5" s="317">
        <v>55</v>
      </c>
      <c r="H5" s="317"/>
      <c r="I5" s="317">
        <v>32</v>
      </c>
      <c r="J5" s="317"/>
      <c r="M5" t="s">
        <v>30</v>
      </c>
    </row>
    <row r="6" spans="1:13" hidden="1" x14ac:dyDescent="0.2">
      <c r="A6" s="169"/>
      <c r="B6" s="169">
        <v>0</v>
      </c>
      <c r="C6" s="313">
        <v>31594</v>
      </c>
      <c r="D6" s="314">
        <v>31958</v>
      </c>
      <c r="E6" s="317">
        <v>41</v>
      </c>
      <c r="F6" s="317">
        <v>25</v>
      </c>
      <c r="G6" s="317">
        <v>55</v>
      </c>
      <c r="H6" s="317"/>
      <c r="I6" s="317">
        <v>32</v>
      </c>
      <c r="J6" s="317"/>
    </row>
    <row r="7" spans="1:13" hidden="1" x14ac:dyDescent="0.2">
      <c r="A7" s="169"/>
      <c r="B7" s="169">
        <v>0</v>
      </c>
      <c r="C7" s="313">
        <v>31959</v>
      </c>
      <c r="D7" s="314">
        <v>32324</v>
      </c>
      <c r="E7" s="317">
        <v>42</v>
      </c>
      <c r="F7" s="317">
        <v>26</v>
      </c>
      <c r="G7" s="317">
        <v>55</v>
      </c>
      <c r="H7" s="317"/>
      <c r="I7" s="317">
        <v>32.299999999999997</v>
      </c>
      <c r="J7" s="317"/>
    </row>
    <row r="8" spans="1:13" hidden="1" x14ac:dyDescent="0.2">
      <c r="A8" s="169"/>
      <c r="B8" s="169">
        <v>0</v>
      </c>
      <c r="C8" s="313">
        <v>32325</v>
      </c>
      <c r="D8" s="314">
        <v>32689</v>
      </c>
      <c r="E8" s="317">
        <v>42</v>
      </c>
      <c r="F8" s="317">
        <v>26</v>
      </c>
      <c r="G8" s="317">
        <v>55</v>
      </c>
      <c r="H8" s="317"/>
      <c r="I8" s="317">
        <v>32.299999999999997</v>
      </c>
      <c r="J8" s="317"/>
    </row>
    <row r="9" spans="1:13" hidden="1" x14ac:dyDescent="0.2">
      <c r="A9" s="169"/>
      <c r="B9" s="169">
        <v>0</v>
      </c>
      <c r="C9" s="313">
        <v>32690</v>
      </c>
      <c r="D9" s="314">
        <v>33054</v>
      </c>
      <c r="E9" s="317">
        <v>42.3</v>
      </c>
      <c r="F9" s="317">
        <v>26</v>
      </c>
      <c r="G9" s="317">
        <v>55</v>
      </c>
      <c r="H9" s="317"/>
      <c r="I9" s="317">
        <v>32.5</v>
      </c>
      <c r="J9" s="317"/>
    </row>
    <row r="10" spans="1:13" hidden="1" x14ac:dyDescent="0.2">
      <c r="A10" s="169"/>
      <c r="B10" s="169">
        <v>0</v>
      </c>
      <c r="C10" s="313">
        <v>33055</v>
      </c>
      <c r="D10" s="314">
        <v>33419</v>
      </c>
      <c r="E10" s="317">
        <v>42.5</v>
      </c>
      <c r="F10" s="317">
        <v>26</v>
      </c>
      <c r="G10" s="317">
        <v>55</v>
      </c>
      <c r="H10" s="317"/>
      <c r="I10" s="317">
        <v>32.5</v>
      </c>
      <c r="J10" s="317"/>
    </row>
    <row r="11" spans="1:13" hidden="1" x14ac:dyDescent="0.2">
      <c r="A11" s="169"/>
      <c r="B11" s="169">
        <v>0</v>
      </c>
      <c r="C11" s="313">
        <v>33420</v>
      </c>
      <c r="D11" s="314">
        <v>33785</v>
      </c>
      <c r="E11" s="317">
        <v>48</v>
      </c>
      <c r="F11" s="317">
        <v>26</v>
      </c>
      <c r="G11" s="317">
        <v>55</v>
      </c>
      <c r="H11" s="317"/>
      <c r="I11" s="317">
        <v>32.5</v>
      </c>
      <c r="J11" s="317"/>
    </row>
    <row r="12" spans="1:13" hidden="1" x14ac:dyDescent="0.2">
      <c r="A12" s="169"/>
      <c r="B12" s="169">
        <v>0</v>
      </c>
      <c r="C12" s="313">
        <v>33786</v>
      </c>
      <c r="D12" s="314">
        <v>34880</v>
      </c>
      <c r="E12" s="317">
        <v>50</v>
      </c>
      <c r="F12" s="317">
        <v>26</v>
      </c>
      <c r="G12" s="317">
        <v>55</v>
      </c>
      <c r="H12" s="317"/>
      <c r="I12" s="317">
        <v>33</v>
      </c>
      <c r="J12" s="317"/>
    </row>
    <row r="13" spans="1:13" hidden="1" x14ac:dyDescent="0.2">
      <c r="A13" s="169"/>
      <c r="B13" s="169">
        <v>0</v>
      </c>
      <c r="C13" s="313">
        <v>34881</v>
      </c>
      <c r="D13" s="314">
        <v>37072</v>
      </c>
      <c r="E13" s="317">
        <v>50</v>
      </c>
      <c r="F13" s="317">
        <v>26</v>
      </c>
      <c r="G13" s="317">
        <v>55</v>
      </c>
      <c r="H13" s="317"/>
      <c r="I13" s="317">
        <v>33</v>
      </c>
      <c r="J13" s="317"/>
    </row>
    <row r="14" spans="1:13" hidden="1" x14ac:dyDescent="0.2">
      <c r="A14" s="169"/>
      <c r="B14" s="169">
        <v>0</v>
      </c>
      <c r="C14" s="313">
        <v>37073</v>
      </c>
      <c r="D14" s="314">
        <v>37437</v>
      </c>
      <c r="E14" s="317">
        <v>49</v>
      </c>
      <c r="F14" s="317">
        <v>26</v>
      </c>
      <c r="G14" s="317">
        <v>54</v>
      </c>
      <c r="H14" s="317"/>
      <c r="I14" s="317">
        <v>32</v>
      </c>
      <c r="J14" s="317"/>
    </row>
    <row r="15" spans="1:13" hidden="1" x14ac:dyDescent="0.2">
      <c r="A15" s="169"/>
      <c r="B15" s="169">
        <v>0</v>
      </c>
      <c r="C15" s="313">
        <v>37438</v>
      </c>
      <c r="D15" s="314">
        <v>38168</v>
      </c>
      <c r="E15" s="317">
        <v>49</v>
      </c>
      <c r="F15" s="317">
        <v>26</v>
      </c>
      <c r="G15" s="317">
        <v>54</v>
      </c>
      <c r="H15" s="317"/>
      <c r="I15" s="317">
        <v>32</v>
      </c>
      <c r="J15" s="317"/>
    </row>
    <row r="16" spans="1:13" hidden="1" x14ac:dyDescent="0.2">
      <c r="A16" s="169"/>
      <c r="B16" s="169">
        <v>0</v>
      </c>
      <c r="C16" s="313">
        <v>38169</v>
      </c>
      <c r="D16" s="314">
        <v>38533</v>
      </c>
      <c r="E16" s="317">
        <v>49</v>
      </c>
      <c r="F16" s="317">
        <v>26</v>
      </c>
      <c r="G16" s="317"/>
      <c r="H16" s="317"/>
      <c r="I16" s="317"/>
      <c r="J16" s="317"/>
    </row>
    <row r="17" spans="2:10" hidden="1" x14ac:dyDescent="0.2">
      <c r="B17" s="169">
        <v>0</v>
      </c>
      <c r="C17" s="313">
        <v>38534</v>
      </c>
      <c r="D17" s="314">
        <v>38898</v>
      </c>
      <c r="E17" s="317">
        <v>48.5</v>
      </c>
      <c r="F17" s="317">
        <v>26</v>
      </c>
      <c r="G17" s="317">
        <v>54</v>
      </c>
      <c r="H17" s="317"/>
      <c r="I17" s="317">
        <v>32</v>
      </c>
      <c r="J17" s="317"/>
    </row>
    <row r="18" spans="2:10" hidden="1" x14ac:dyDescent="0.2">
      <c r="B18" s="169">
        <v>0</v>
      </c>
      <c r="C18" s="313">
        <v>38899</v>
      </c>
      <c r="D18" s="314">
        <v>39263</v>
      </c>
      <c r="E18" s="317">
        <v>48</v>
      </c>
      <c r="F18" s="317">
        <v>26</v>
      </c>
      <c r="G18" s="317">
        <v>54</v>
      </c>
      <c r="H18" s="317"/>
      <c r="I18" s="317">
        <v>32</v>
      </c>
      <c r="J18" s="317"/>
    </row>
    <row r="19" spans="2:10" hidden="1" x14ac:dyDescent="0.2">
      <c r="B19" s="169">
        <v>0</v>
      </c>
      <c r="C19" s="313">
        <v>39264</v>
      </c>
      <c r="D19" s="314">
        <v>39629</v>
      </c>
      <c r="E19" s="317">
        <v>48</v>
      </c>
      <c r="F19" s="317">
        <v>26</v>
      </c>
      <c r="G19" s="317">
        <v>54</v>
      </c>
      <c r="H19" s="317">
        <v>23.8</v>
      </c>
      <c r="I19" s="317">
        <v>32</v>
      </c>
      <c r="J19" s="317">
        <v>25.6</v>
      </c>
    </row>
    <row r="20" spans="2:10" hidden="1" x14ac:dyDescent="0.2">
      <c r="B20" s="169">
        <v>0</v>
      </c>
      <c r="C20" s="313">
        <v>39630</v>
      </c>
      <c r="D20" s="314">
        <v>40724</v>
      </c>
      <c r="E20" s="317">
        <v>42</v>
      </c>
      <c r="F20" s="317">
        <v>26</v>
      </c>
      <c r="G20" s="317">
        <v>53</v>
      </c>
      <c r="H20" s="317">
        <v>26</v>
      </c>
      <c r="I20" s="317">
        <v>29</v>
      </c>
      <c r="J20" s="317">
        <v>23.8</v>
      </c>
    </row>
    <row r="21" spans="2:10" hidden="1" x14ac:dyDescent="0.2">
      <c r="B21" s="169">
        <v>0</v>
      </c>
      <c r="C21" s="313">
        <v>40725</v>
      </c>
      <c r="D21" s="314">
        <v>41090</v>
      </c>
      <c r="E21" s="317">
        <v>42</v>
      </c>
      <c r="F21" s="317">
        <v>26</v>
      </c>
      <c r="G21" s="317">
        <v>53</v>
      </c>
      <c r="H21" s="317">
        <v>26</v>
      </c>
      <c r="I21" s="317">
        <v>29</v>
      </c>
      <c r="J21" s="317">
        <v>23.8</v>
      </c>
    </row>
    <row r="22" spans="2:10" hidden="1" x14ac:dyDescent="0.2">
      <c r="B22" s="169">
        <v>0</v>
      </c>
      <c r="C22" s="313">
        <v>41091</v>
      </c>
      <c r="D22" s="314">
        <v>41820</v>
      </c>
      <c r="E22" s="317">
        <v>45</v>
      </c>
      <c r="F22" s="317">
        <v>26</v>
      </c>
      <c r="G22" s="317">
        <v>59.4</v>
      </c>
      <c r="H22" s="317">
        <v>26</v>
      </c>
      <c r="I22" s="317">
        <v>30.7</v>
      </c>
      <c r="J22" s="317">
        <v>24.3</v>
      </c>
    </row>
    <row r="23" spans="2:10" hidden="1" x14ac:dyDescent="0.2">
      <c r="B23" s="169">
        <v>0</v>
      </c>
      <c r="C23" s="313">
        <v>41821</v>
      </c>
      <c r="D23" s="314">
        <v>42185</v>
      </c>
      <c r="E23" s="317">
        <v>45</v>
      </c>
      <c r="F23" s="317">
        <v>26</v>
      </c>
      <c r="G23" s="317">
        <v>59.4</v>
      </c>
      <c r="H23" s="317">
        <v>26</v>
      </c>
      <c r="I23" s="317">
        <v>30.7</v>
      </c>
      <c r="J23" s="317">
        <v>24.3</v>
      </c>
    </row>
    <row r="24" spans="2:10" hidden="1" x14ac:dyDescent="0.2">
      <c r="B24" s="169">
        <v>0</v>
      </c>
      <c r="C24" s="313">
        <v>42186</v>
      </c>
      <c r="D24" s="314">
        <v>42551</v>
      </c>
      <c r="E24" s="317">
        <v>45</v>
      </c>
      <c r="F24" s="317">
        <v>26</v>
      </c>
      <c r="G24" s="317">
        <v>59.4</v>
      </c>
      <c r="H24" s="317">
        <v>26</v>
      </c>
      <c r="I24" s="317">
        <v>30.7</v>
      </c>
      <c r="J24" s="317">
        <v>24.3</v>
      </c>
    </row>
    <row r="25" spans="2:10" x14ac:dyDescent="0.2">
      <c r="B25" s="169">
        <v>0</v>
      </c>
      <c r="C25" s="313">
        <v>43282</v>
      </c>
      <c r="D25" s="314">
        <v>43646</v>
      </c>
      <c r="E25" s="317">
        <v>47.5</v>
      </c>
      <c r="F25" s="317">
        <v>26</v>
      </c>
      <c r="G25" s="317">
        <v>46</v>
      </c>
      <c r="H25" s="317">
        <v>26</v>
      </c>
      <c r="I25" s="317">
        <v>30.7</v>
      </c>
      <c r="J25" s="317">
        <v>26</v>
      </c>
    </row>
    <row r="26" spans="2:10" x14ac:dyDescent="0.2">
      <c r="B26" s="169">
        <v>0</v>
      </c>
      <c r="C26" s="313">
        <v>43647</v>
      </c>
      <c r="D26" s="314">
        <v>44377</v>
      </c>
      <c r="E26" s="317">
        <v>47.5</v>
      </c>
      <c r="F26" s="317">
        <v>26</v>
      </c>
      <c r="G26" s="317">
        <v>46</v>
      </c>
      <c r="H26" s="317">
        <v>26</v>
      </c>
      <c r="I26" s="317">
        <v>30.7</v>
      </c>
      <c r="J26" s="317">
        <v>26</v>
      </c>
    </row>
    <row r="27" spans="2:10" x14ac:dyDescent="0.2">
      <c r="B27" s="169">
        <v>0</v>
      </c>
      <c r="C27" s="313">
        <v>44378</v>
      </c>
      <c r="D27" s="314">
        <v>45107</v>
      </c>
      <c r="E27" s="317">
        <v>47.5</v>
      </c>
      <c r="F27" s="317">
        <v>26</v>
      </c>
      <c r="G27" s="317">
        <v>46</v>
      </c>
      <c r="H27" s="317">
        <v>26</v>
      </c>
      <c r="I27" s="317">
        <v>30.7</v>
      </c>
      <c r="J27" s="317">
        <v>26</v>
      </c>
    </row>
    <row r="28" spans="2:10" x14ac:dyDescent="0.2">
      <c r="B28" s="169">
        <v>0</v>
      </c>
      <c r="C28" s="313">
        <v>45108</v>
      </c>
      <c r="D28" s="314">
        <v>46568</v>
      </c>
      <c r="E28" s="317">
        <v>49</v>
      </c>
      <c r="F28" s="317">
        <v>26</v>
      </c>
      <c r="G28" s="317">
        <v>48</v>
      </c>
      <c r="H28" s="317">
        <v>26</v>
      </c>
      <c r="I28" s="317">
        <v>33</v>
      </c>
      <c r="J28" s="317">
        <v>26</v>
      </c>
    </row>
    <row r="29" spans="2:10" x14ac:dyDescent="0.2">
      <c r="C29" s="313"/>
      <c r="D29" s="313"/>
    </row>
    <row r="30" spans="2:10" x14ac:dyDescent="0.2">
      <c r="B30" s="169"/>
      <c r="C30" s="169"/>
      <c r="D30" s="170"/>
      <c r="E30" s="169"/>
      <c r="F30" s="169"/>
      <c r="G30" s="169"/>
      <c r="H30" s="169"/>
      <c r="I30" s="169"/>
      <c r="J30" s="169"/>
    </row>
    <row r="31" spans="2:10" x14ac:dyDescent="0.2">
      <c r="B31" s="169"/>
      <c r="C31" s="169"/>
      <c r="D31" s="171"/>
      <c r="E31" s="169"/>
      <c r="F31" s="169"/>
      <c r="G31" s="169"/>
      <c r="H31" s="169"/>
      <c r="I31" s="169"/>
      <c r="J31" s="169"/>
    </row>
    <row r="32" spans="2:10" x14ac:dyDescent="0.2">
      <c r="B32" s="169"/>
      <c r="C32" s="169"/>
      <c r="D32" s="170"/>
      <c r="E32" s="169"/>
      <c r="F32" s="169"/>
      <c r="G32" s="169"/>
      <c r="H32" s="169"/>
      <c r="I32" s="169"/>
      <c r="J32" s="169"/>
    </row>
  </sheetData>
  <sheetProtection password="CCF6"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CBD87-51B1-4961-BDB1-90BF8DA5EB43}">
  <sheetPr>
    <tabColor rgb="FF7030A0"/>
  </sheetPr>
  <dimension ref="A1:L86"/>
  <sheetViews>
    <sheetView zoomScale="90" zoomScaleNormal="90" workbookViewId="0">
      <selection activeCell="G30" sqref="G30"/>
    </sheetView>
  </sheetViews>
  <sheetFormatPr defaultRowHeight="12.75" x14ac:dyDescent="0.2"/>
  <cols>
    <col min="1" max="1" width="33.7109375" customWidth="1"/>
    <col min="2" max="7" width="11.7109375" customWidth="1"/>
    <col min="8" max="8" width="11.7109375" hidden="1" customWidth="1"/>
    <col min="9" max="9" width="66.7109375" customWidth="1"/>
    <col min="10" max="11" width="9.140625" customWidth="1"/>
  </cols>
  <sheetData>
    <row r="1" spans="1:12" ht="15" x14ac:dyDescent="0.25">
      <c r="A1" s="474" t="s">
        <v>229</v>
      </c>
      <c r="B1" s="357" t="s">
        <v>230</v>
      </c>
      <c r="D1" s="357"/>
      <c r="E1" s="357"/>
      <c r="F1" s="357"/>
      <c r="G1" s="419"/>
      <c r="I1" s="422"/>
    </row>
    <row r="2" spans="1:12" ht="15" x14ac:dyDescent="0.25">
      <c r="A2" s="474"/>
      <c r="B2" s="357" t="s">
        <v>281</v>
      </c>
      <c r="D2" s="357"/>
      <c r="E2" s="357"/>
      <c r="F2" s="357"/>
      <c r="G2" s="419"/>
      <c r="I2" s="422"/>
    </row>
    <row r="3" spans="1:12" ht="15.75" thickBot="1" x14ac:dyDescent="0.3">
      <c r="A3" s="435">
        <f>'NIH Modular Budget Template'!Q4</f>
        <v>46290</v>
      </c>
      <c r="B3" s="475" t="s">
        <v>283</v>
      </c>
      <c r="C3" s="476"/>
      <c r="D3" s="475" t="s">
        <v>282</v>
      </c>
      <c r="E3" s="477"/>
      <c r="F3" s="476"/>
      <c r="G3" s="434" t="s">
        <v>286</v>
      </c>
    </row>
    <row r="4" spans="1:12" ht="15.75" x14ac:dyDescent="0.2">
      <c r="A4" s="472" t="s">
        <v>184</v>
      </c>
      <c r="B4" s="429">
        <v>2026</v>
      </c>
      <c r="C4" s="429">
        <v>2027</v>
      </c>
      <c r="D4" s="429">
        <v>2028</v>
      </c>
      <c r="E4" s="430">
        <v>2029</v>
      </c>
      <c r="F4" s="431">
        <v>2030</v>
      </c>
      <c r="G4" s="441">
        <v>2031</v>
      </c>
      <c r="H4" s="423">
        <v>2032</v>
      </c>
      <c r="I4" s="472" t="s">
        <v>185</v>
      </c>
    </row>
    <row r="5" spans="1:12" ht="16.5" thickBot="1" x14ac:dyDescent="0.25">
      <c r="A5" s="473"/>
      <c r="B5" s="379" t="s">
        <v>186</v>
      </c>
      <c r="C5" s="379" t="s">
        <v>186</v>
      </c>
      <c r="D5" s="379" t="s">
        <v>186</v>
      </c>
      <c r="E5" s="380" t="s">
        <v>186</v>
      </c>
      <c r="F5" s="381" t="s">
        <v>186</v>
      </c>
      <c r="G5" s="442" t="s">
        <v>186</v>
      </c>
      <c r="H5" s="424" t="s">
        <v>186</v>
      </c>
      <c r="I5" s="473"/>
      <c r="J5" s="359"/>
    </row>
    <row r="6" spans="1:12" ht="60.75" thickBot="1" x14ac:dyDescent="0.25">
      <c r="A6" s="398" t="s">
        <v>187</v>
      </c>
      <c r="B6" s="455">
        <v>0.76500000000000001</v>
      </c>
      <c r="C6" s="456">
        <v>0.77400000000000002</v>
      </c>
      <c r="D6" s="456">
        <v>0.78400000000000003</v>
      </c>
      <c r="E6" s="456">
        <v>0.77300000000000002</v>
      </c>
      <c r="F6" s="456">
        <v>0.77800000000000002</v>
      </c>
      <c r="G6" s="444">
        <f>AVERAGE(B6:F6)</f>
        <v>0.77480000000000016</v>
      </c>
      <c r="H6" s="425">
        <f>AVERAGE(C6:G6)</f>
        <v>0.77676000000000001</v>
      </c>
      <c r="I6" s="399" t="s">
        <v>216</v>
      </c>
      <c r="J6" s="359"/>
    </row>
    <row r="7" spans="1:12" ht="45.75" thickBot="1" x14ac:dyDescent="0.25">
      <c r="A7" s="352" t="s">
        <v>188</v>
      </c>
      <c r="B7" s="446">
        <v>0.52900000000000003</v>
      </c>
      <c r="C7" s="445">
        <v>0.51100000000000001</v>
      </c>
      <c r="D7" s="445">
        <v>0.504</v>
      </c>
      <c r="E7" s="445">
        <v>0.501</v>
      </c>
      <c r="F7" s="445">
        <v>0.502</v>
      </c>
      <c r="G7" s="444">
        <f t="shared" ref="G7:G13" si="0">AVERAGE(B7:F7)</f>
        <v>0.50939999999999996</v>
      </c>
      <c r="H7" s="425">
        <f t="shared" ref="H7:H13" si="1">AVERAGE(C7:G7)</f>
        <v>0.50547999999999993</v>
      </c>
      <c r="I7" s="360" t="s">
        <v>217</v>
      </c>
      <c r="J7" s="359"/>
    </row>
    <row r="8" spans="1:12" ht="45.75" thickBot="1" x14ac:dyDescent="0.25">
      <c r="A8" s="398" t="s">
        <v>189</v>
      </c>
      <c r="B8" s="443">
        <v>0.34200000000000003</v>
      </c>
      <c r="C8" s="444">
        <v>0.34</v>
      </c>
      <c r="D8" s="444">
        <v>0.317</v>
      </c>
      <c r="E8" s="444">
        <v>0.32900000000000001</v>
      </c>
      <c r="F8" s="444">
        <v>0.32900000000000001</v>
      </c>
      <c r="G8" s="444">
        <f t="shared" si="0"/>
        <v>0.33140000000000003</v>
      </c>
      <c r="H8" s="425">
        <f t="shared" si="1"/>
        <v>0.32927999999999996</v>
      </c>
      <c r="I8" s="399" t="s">
        <v>227</v>
      </c>
      <c r="J8" s="359"/>
    </row>
    <row r="9" spans="1:12" ht="45.75" thickBot="1" x14ac:dyDescent="0.25">
      <c r="A9" s="352" t="s">
        <v>190</v>
      </c>
      <c r="B9" s="446">
        <v>1.0489999999999999</v>
      </c>
      <c r="C9" s="445">
        <v>1.0740000000000001</v>
      </c>
      <c r="D9" s="445">
        <v>1.0940000000000001</v>
      </c>
      <c r="E9" s="445">
        <v>1.0489999999999999</v>
      </c>
      <c r="F9" s="445">
        <v>1.0640000000000001</v>
      </c>
      <c r="G9" s="444">
        <f t="shared" si="0"/>
        <v>1.0660000000000001</v>
      </c>
      <c r="H9" s="425">
        <f t="shared" si="1"/>
        <v>1.0694000000000001</v>
      </c>
      <c r="I9" s="360" t="s">
        <v>218</v>
      </c>
      <c r="J9" s="359"/>
    </row>
    <row r="10" spans="1:12" ht="30.75" thickBot="1" x14ac:dyDescent="0.25">
      <c r="A10" s="398" t="s">
        <v>191</v>
      </c>
      <c r="B10" s="443">
        <v>0.82299999999999995</v>
      </c>
      <c r="C10" s="444">
        <v>0.91</v>
      </c>
      <c r="D10" s="444">
        <v>0.90100000000000002</v>
      </c>
      <c r="E10" s="444">
        <v>0.89100000000000001</v>
      </c>
      <c r="F10" s="444">
        <v>0.89800000000000002</v>
      </c>
      <c r="G10" s="444">
        <f t="shared" si="0"/>
        <v>0.88460000000000005</v>
      </c>
      <c r="H10" s="425">
        <f t="shared" si="1"/>
        <v>0.89692000000000005</v>
      </c>
      <c r="I10" s="399" t="s">
        <v>219</v>
      </c>
      <c r="J10" s="359"/>
    </row>
    <row r="11" spans="1:12" ht="30.75" thickBot="1" x14ac:dyDescent="0.25">
      <c r="A11" s="352" t="s">
        <v>192</v>
      </c>
      <c r="B11" s="446">
        <v>0.79600000000000004</v>
      </c>
      <c r="C11" s="445">
        <v>0.80200000000000005</v>
      </c>
      <c r="D11" s="445">
        <v>0.81399999999999995</v>
      </c>
      <c r="E11" s="445">
        <v>0.79300000000000004</v>
      </c>
      <c r="F11" s="445">
        <v>0.79800000000000004</v>
      </c>
      <c r="G11" s="444">
        <f t="shared" si="0"/>
        <v>0.80059999999999998</v>
      </c>
      <c r="H11" s="425">
        <f t="shared" si="1"/>
        <v>0.80152000000000001</v>
      </c>
      <c r="I11" s="360" t="s">
        <v>220</v>
      </c>
      <c r="J11" s="359"/>
    </row>
    <row r="12" spans="1:12" ht="45.75" thickBot="1" x14ac:dyDescent="0.25">
      <c r="A12" s="398" t="s">
        <v>226</v>
      </c>
      <c r="B12" s="443">
        <v>0.26100000000000001</v>
      </c>
      <c r="C12" s="444">
        <v>0.32300000000000001</v>
      </c>
      <c r="D12" s="444">
        <v>0.218</v>
      </c>
      <c r="E12" s="444">
        <v>0.31</v>
      </c>
      <c r="F12" s="444">
        <v>0.313</v>
      </c>
      <c r="G12" s="444">
        <f t="shared" si="0"/>
        <v>0.28500000000000003</v>
      </c>
      <c r="H12" s="425">
        <f t="shared" si="1"/>
        <v>0.28979999999999995</v>
      </c>
      <c r="I12" s="399" t="s">
        <v>228</v>
      </c>
      <c r="J12" s="359"/>
    </row>
    <row r="13" spans="1:12" ht="30.75" thickBot="1" x14ac:dyDescent="0.25">
      <c r="A13" s="352" t="s">
        <v>222</v>
      </c>
      <c r="B13" s="447">
        <v>3.7999999999999999E-2</v>
      </c>
      <c r="C13" s="448">
        <v>3.3000000000000002E-2</v>
      </c>
      <c r="D13" s="448">
        <v>3.6999999999999998E-2</v>
      </c>
      <c r="E13" s="448">
        <v>3.4000000000000002E-2</v>
      </c>
      <c r="F13" s="448">
        <v>3.4000000000000002E-2</v>
      </c>
      <c r="G13" s="444">
        <f t="shared" si="0"/>
        <v>3.5200000000000002E-2</v>
      </c>
      <c r="H13" s="425">
        <f t="shared" si="1"/>
        <v>3.4640000000000004E-2</v>
      </c>
      <c r="I13" s="360" t="s">
        <v>221</v>
      </c>
      <c r="J13" s="359"/>
    </row>
    <row r="14" spans="1:12" x14ac:dyDescent="0.2">
      <c r="A14" s="359"/>
      <c r="B14" s="359"/>
      <c r="C14" s="359"/>
      <c r="D14" s="359"/>
      <c r="E14" s="359"/>
      <c r="F14" s="361"/>
      <c r="G14" s="321"/>
      <c r="H14" s="321"/>
      <c r="I14" s="321"/>
      <c r="L14" s="359"/>
    </row>
    <row r="15" spans="1:12" ht="16.5" hidden="1" thickBot="1" x14ac:dyDescent="0.3">
      <c r="A15" s="350" t="s">
        <v>193</v>
      </c>
      <c r="B15" s="350" t="s">
        <v>285</v>
      </c>
      <c r="C15" s="350" t="s">
        <v>186</v>
      </c>
      <c r="D15" s="350" t="s">
        <v>186</v>
      </c>
      <c r="E15" s="350" t="s">
        <v>186</v>
      </c>
      <c r="F15" s="350" t="s">
        <v>186</v>
      </c>
      <c r="G15" s="427" t="s">
        <v>186</v>
      </c>
      <c r="H15" s="428" t="s">
        <v>186</v>
      </c>
      <c r="I15" s="420" t="s">
        <v>284</v>
      </c>
      <c r="J15" s="358"/>
    </row>
    <row r="16" spans="1:12" ht="15.75" hidden="1" thickBot="1" x14ac:dyDescent="0.3">
      <c r="A16" s="353" t="s">
        <v>187</v>
      </c>
      <c r="B16" s="351"/>
      <c r="C16" s="351">
        <f t="shared" ref="C16:H23" si="2">+C6/B6-1</f>
        <v>1.1764705882352899E-2</v>
      </c>
      <c r="D16" s="351">
        <f t="shared" si="2"/>
        <v>1.2919896640826822E-2</v>
      </c>
      <c r="E16" s="362">
        <f t="shared" si="2"/>
        <v>-1.4030612244897989E-2</v>
      </c>
      <c r="F16" s="363">
        <f t="shared" si="2"/>
        <v>6.4683053040104355E-3</v>
      </c>
      <c r="G16" s="426">
        <f t="shared" si="2"/>
        <v>-4.1131105398456436E-3</v>
      </c>
      <c r="H16" s="426">
        <f t="shared" si="2"/>
        <v>2.529685080020494E-3</v>
      </c>
      <c r="I16" s="418">
        <f>AVERAGE(C16:H16)</f>
        <v>2.5898116870778365E-3</v>
      </c>
      <c r="J16" s="358"/>
    </row>
    <row r="17" spans="1:12" ht="15.75" hidden="1" customHeight="1" thickBot="1" x14ac:dyDescent="0.3">
      <c r="A17" s="353" t="s">
        <v>188</v>
      </c>
      <c r="B17" s="351"/>
      <c r="C17" s="351">
        <f t="shared" si="2"/>
        <v>-3.4026465028355379E-2</v>
      </c>
      <c r="D17" s="351">
        <f t="shared" si="2"/>
        <v>-1.3698630136986356E-2</v>
      </c>
      <c r="E17" s="362">
        <f t="shared" si="2"/>
        <v>-5.9523809523809312E-3</v>
      </c>
      <c r="F17" s="363">
        <f t="shared" si="2"/>
        <v>1.9960079840319889E-3</v>
      </c>
      <c r="G17" s="426">
        <f t="shared" si="2"/>
        <v>1.4741035856573603E-2</v>
      </c>
      <c r="H17" s="426">
        <f t="shared" si="2"/>
        <v>-7.6953278366707067E-3</v>
      </c>
      <c r="I17" s="418">
        <f t="shared" ref="I17:I23" si="3">AVERAGE(C17:H17)</f>
        <v>-7.4392933522979638E-3</v>
      </c>
      <c r="J17" s="358"/>
    </row>
    <row r="18" spans="1:12" ht="15.75" hidden="1" customHeight="1" thickBot="1" x14ac:dyDescent="0.3">
      <c r="A18" s="353" t="s">
        <v>189</v>
      </c>
      <c r="B18" s="351"/>
      <c r="C18" s="351">
        <f t="shared" si="2"/>
        <v>-5.8479532163743242E-3</v>
      </c>
      <c r="D18" s="351">
        <f t="shared" si="2"/>
        <v>-6.7647058823529505E-2</v>
      </c>
      <c r="E18" s="362">
        <f t="shared" si="2"/>
        <v>3.7854889589905349E-2</v>
      </c>
      <c r="F18" s="363">
        <f t="shared" si="2"/>
        <v>0</v>
      </c>
      <c r="G18" s="426">
        <f t="shared" si="2"/>
        <v>7.2948328267476992E-3</v>
      </c>
      <c r="H18" s="426">
        <f t="shared" si="2"/>
        <v>-6.3971031985518012E-3</v>
      </c>
      <c r="I18" s="418">
        <f t="shared" si="3"/>
        <v>-5.7903988036337633E-3</v>
      </c>
      <c r="J18" s="358"/>
    </row>
    <row r="19" spans="1:12" ht="15.75" hidden="1" customHeight="1" thickBot="1" x14ac:dyDescent="0.3">
      <c r="A19" s="353" t="s">
        <v>190</v>
      </c>
      <c r="B19" s="351"/>
      <c r="C19" s="351">
        <f t="shared" si="2"/>
        <v>2.3832221163012424E-2</v>
      </c>
      <c r="D19" s="351">
        <f t="shared" si="2"/>
        <v>1.862197392923659E-2</v>
      </c>
      <c r="E19" s="362">
        <f t="shared" si="2"/>
        <v>-4.1133455210237813E-2</v>
      </c>
      <c r="F19" s="363">
        <f t="shared" si="2"/>
        <v>1.4299332697807587E-2</v>
      </c>
      <c r="G19" s="426">
        <f t="shared" si="2"/>
        <v>1.879699248120259E-3</v>
      </c>
      <c r="H19" s="426">
        <f t="shared" si="2"/>
        <v>3.189493433396029E-3</v>
      </c>
      <c r="I19" s="418">
        <f t="shared" si="3"/>
        <v>3.4482108768891795E-3</v>
      </c>
      <c r="J19" s="358"/>
    </row>
    <row r="20" spans="1:12" ht="15.75" hidden="1" customHeight="1" thickBot="1" x14ac:dyDescent="0.3">
      <c r="A20" s="353" t="s">
        <v>191</v>
      </c>
      <c r="B20" s="351"/>
      <c r="C20" s="351">
        <f t="shared" si="2"/>
        <v>0.10571081409477534</v>
      </c>
      <c r="D20" s="351">
        <f t="shared" si="2"/>
        <v>-9.890109890109855E-3</v>
      </c>
      <c r="E20" s="362">
        <f t="shared" si="2"/>
        <v>-1.1098779134295245E-2</v>
      </c>
      <c r="F20" s="363">
        <f t="shared" si="2"/>
        <v>7.8563411896745983E-3</v>
      </c>
      <c r="G20" s="426">
        <f t="shared" si="2"/>
        <v>-1.492204899777283E-2</v>
      </c>
      <c r="H20" s="426">
        <f t="shared" si="2"/>
        <v>1.3927198733890922E-2</v>
      </c>
      <c r="I20" s="418">
        <f t="shared" si="3"/>
        <v>1.5263902666027155E-2</v>
      </c>
      <c r="J20" s="358"/>
    </row>
    <row r="21" spans="1:12" ht="15.75" hidden="1" customHeight="1" thickBot="1" x14ac:dyDescent="0.3">
      <c r="A21" s="353" t="s">
        <v>192</v>
      </c>
      <c r="B21" s="351"/>
      <c r="C21" s="351">
        <f t="shared" si="2"/>
        <v>7.5376884422111434E-3</v>
      </c>
      <c r="D21" s="351">
        <f t="shared" si="2"/>
        <v>1.4962593516209433E-2</v>
      </c>
      <c r="E21" s="362">
        <f t="shared" si="2"/>
        <v>-2.5798525798525707E-2</v>
      </c>
      <c r="F21" s="363">
        <f t="shared" si="2"/>
        <v>6.3051702395964249E-3</v>
      </c>
      <c r="G21" s="426">
        <f t="shared" si="2"/>
        <v>3.2581453634084045E-3</v>
      </c>
      <c r="H21" s="426">
        <f t="shared" si="2"/>
        <v>1.1491381463901718E-3</v>
      </c>
      <c r="I21" s="418">
        <f t="shared" si="3"/>
        <v>1.2357016515483117E-3</v>
      </c>
      <c r="J21" s="358"/>
    </row>
    <row r="22" spans="1:12" ht="15.75" hidden="1" customHeight="1" thickBot="1" x14ac:dyDescent="0.3">
      <c r="A22" s="353" t="s">
        <v>226</v>
      </c>
      <c r="B22" s="351"/>
      <c r="C22" s="351">
        <f t="shared" si="2"/>
        <v>0.23754789272030652</v>
      </c>
      <c r="D22" s="351">
        <f t="shared" si="2"/>
        <v>-0.32507739938080493</v>
      </c>
      <c r="E22" s="362">
        <f t="shared" si="2"/>
        <v>0.42201834862385312</v>
      </c>
      <c r="F22" s="363">
        <f t="shared" si="2"/>
        <v>9.6774193548387899E-3</v>
      </c>
      <c r="G22" s="426">
        <f t="shared" si="2"/>
        <v>-8.9456869009584605E-2</v>
      </c>
      <c r="H22" s="426">
        <f t="shared" si="2"/>
        <v>1.6842105263157547E-2</v>
      </c>
      <c r="I22" s="418">
        <f t="shared" si="3"/>
        <v>4.5258582928627743E-2</v>
      </c>
      <c r="J22" s="358"/>
    </row>
    <row r="23" spans="1:12" ht="15.75" hidden="1" thickBot="1" x14ac:dyDescent="0.3">
      <c r="A23" s="353" t="s">
        <v>222</v>
      </c>
      <c r="B23" s="351"/>
      <c r="C23" s="351">
        <f t="shared" si="2"/>
        <v>-0.13157894736842102</v>
      </c>
      <c r="D23" s="351">
        <f t="shared" si="2"/>
        <v>0.1212121212121211</v>
      </c>
      <c r="E23" s="362">
        <f t="shared" si="2"/>
        <v>-8.1081081081080919E-2</v>
      </c>
      <c r="F23" s="364">
        <f t="shared" si="2"/>
        <v>0</v>
      </c>
      <c r="G23" s="426">
        <f t="shared" si="2"/>
        <v>3.529411764705892E-2</v>
      </c>
      <c r="H23" s="426">
        <f t="shared" si="2"/>
        <v>-1.5909090909090873E-2</v>
      </c>
      <c r="I23" s="418">
        <f t="shared" si="3"/>
        <v>-1.2010480083235464E-2</v>
      </c>
      <c r="J23" s="358"/>
    </row>
    <row r="24" spans="1:12" ht="12.75" customHeight="1" x14ac:dyDescent="0.2">
      <c r="A24" s="383" t="s">
        <v>194</v>
      </c>
      <c r="B24" s="384">
        <f>YEAR('NIH Modular Budget Template'!K6)</f>
        <v>2028</v>
      </c>
      <c r="C24" s="384">
        <f>YEAR('NIH Modular Budget Template'!L6)</f>
        <v>2029</v>
      </c>
      <c r="D24" s="384">
        <f>YEAR('NIH Modular Budget Template'!M6)</f>
        <v>2030</v>
      </c>
      <c r="E24" s="384">
        <f>YEAR('NIH Modular Budget Template'!N6)</f>
        <v>2031</v>
      </c>
      <c r="F24" s="384">
        <f>YEAR('NIH Modular Budget Template'!O6)</f>
        <v>2032</v>
      </c>
      <c r="G24" s="365"/>
      <c r="H24" s="365"/>
      <c r="I24" s="365"/>
      <c r="L24" s="358"/>
    </row>
    <row r="25" spans="1:12" x14ac:dyDescent="0.2">
      <c r="A25" s="383" t="s">
        <v>195</v>
      </c>
      <c r="B25" s="365">
        <f>MAX(0,MIN(12,B24-$B$4))</f>
        <v>2</v>
      </c>
      <c r="C25" s="365">
        <f>MAX(0,MIN(12,C24-$B$4))</f>
        <v>3</v>
      </c>
      <c r="D25" s="365">
        <f>MAX(0,MIN(12,D24-$B$4))</f>
        <v>4</v>
      </c>
      <c r="E25" s="365">
        <f>MAX(0,MIN(12,E24-$B$4))</f>
        <v>5</v>
      </c>
      <c r="F25" s="365">
        <f>MAX(0,MIN(12,F24-$B$4))</f>
        <v>6</v>
      </c>
      <c r="G25" s="365"/>
      <c r="H25" s="365"/>
      <c r="I25" s="365"/>
      <c r="L25" s="358"/>
    </row>
    <row r="26" spans="1:12" x14ac:dyDescent="0.2">
      <c r="A26" s="416" t="s">
        <v>187</v>
      </c>
      <c r="B26" s="417">
        <f t="shared" ref="B26:B33" si="4">IF($B$24&lt;=$H$4,(+VLOOKUP($A26,$A$6:$H$13,B$25+2,FALSE)*(VLOOKUP($A26,$A$16:$I$23,9,FALSE)^(MAX(0,$B$24-$H$4)))),H6)</f>
        <v>0.78400000000000003</v>
      </c>
      <c r="C26" s="417">
        <f>IF('NIH Modular Budget Template'!$R$8="N",B26,IF($C$24&lt;=$H$4,(+VLOOKUP($A26,$A$6:$H$13,C$25+2,FALSE)*(VLOOKUP($A26,$A$16:$I$23,9,FALSE)^(MAX(0,$C$24-$H$4)))),H6))</f>
        <v>0.77300000000000002</v>
      </c>
      <c r="D26" s="417">
        <f>IF('NIH Modular Budget Template'!$R$8="N",B26,IF($D$24&lt;=$H$4,(+VLOOKUP($A26,$A$6:$H$13,D$25+2,FALSE)*(VLOOKUP($A26,$A$16:$I$23,9,FALSE)^(MAX(0,$D$24-$H$4)))),H6))</f>
        <v>0.77800000000000002</v>
      </c>
      <c r="E26" s="417">
        <f>IF('NIH Modular Budget Template'!$R$8="N",B26,IF($E$24&lt;=$H$4,(+VLOOKUP($A26,$A$6:$H$13,E$25+2,FALSE)*(VLOOKUP($A26,$A$16:$I$23,9,FALSE)^(MAX(0,$E$24-$H$4)))),H6))</f>
        <v>0.77480000000000016</v>
      </c>
      <c r="F26" s="417">
        <f>IF('NIH Modular Budget Template'!$R$8="N",B26,IF($F$24&lt;=$H$4,(+VLOOKUP($A26,$A$6:$H$13,F$25+2,FALSE)*(VLOOKUP($A26,$A$16:$I$23,9,FALSE)^(MAX(0,$F$24-$H$4)))),H6))</f>
        <v>0.77676000000000001</v>
      </c>
      <c r="G26" s="98"/>
      <c r="H26" s="366"/>
      <c r="I26" s="98"/>
      <c r="L26" s="358"/>
    </row>
    <row r="27" spans="1:12" x14ac:dyDescent="0.2">
      <c r="A27" s="416" t="s">
        <v>188</v>
      </c>
      <c r="B27" s="417">
        <f t="shared" si="4"/>
        <v>0.504</v>
      </c>
      <c r="C27" s="417">
        <f>IF('NIH Modular Budget Template'!$R$8="N",B27,IF($C$24&lt;=$H$4,(+VLOOKUP($A27,$A$6:$H$13,C$25+2,FALSE)*(VLOOKUP($A27,$A$16:$I$23,9,FALSE)^(MAX(0,$C$24-$H$4)))),H7))</f>
        <v>0.501</v>
      </c>
      <c r="D27" s="417">
        <f>IF('NIH Modular Budget Template'!$R$8="N",B27,IF($D$24&lt;=$H$4,(+VLOOKUP($A27,$A$6:$H$13,D$25+2,FALSE)*(VLOOKUP($A27,$A$16:$I$23,9,FALSE)^(MAX(0,$D$24-$H$4)))),H7))</f>
        <v>0.502</v>
      </c>
      <c r="E27" s="417">
        <f>IF('NIH Modular Budget Template'!$R$8="N",B27,IF($E$24&lt;=$H$4,(+VLOOKUP($A27,$A$6:$H$13,E$25+2,FALSE)*(VLOOKUP($A27,$A$16:$I$23,9,FALSE)^(MAX(0,$E$24-$H$4)))),H7))</f>
        <v>0.50939999999999996</v>
      </c>
      <c r="F27" s="417">
        <f>IF('NIH Modular Budget Template'!$R$8="N",B27,IF($F$24&lt;=$H$4,(+VLOOKUP($A27,$A$6:$H$13,F$25+2,FALSE)*(VLOOKUP($A27,$A$16:$I$23,9,FALSE)^(MAX(0,$F$24-$H$4)))),H7))</f>
        <v>0.50547999999999993</v>
      </c>
      <c r="G27" s="98"/>
      <c r="H27" s="367"/>
      <c r="I27" s="98"/>
      <c r="L27" s="358"/>
    </row>
    <row r="28" spans="1:12" x14ac:dyDescent="0.2">
      <c r="A28" s="416" t="s">
        <v>189</v>
      </c>
      <c r="B28" s="417">
        <f t="shared" si="4"/>
        <v>0.317</v>
      </c>
      <c r="C28" s="417">
        <f>IF('NIH Modular Budget Template'!$R$8="N",B28,IF($C$24&lt;=$H$4,(+VLOOKUP($A28,$A$6:$H$13,C$25+2,FALSE)*(VLOOKUP($A28,$A$16:$I$23,9,FALSE)^(MAX(0,$C$24-$H$4)))),H8))</f>
        <v>0.32900000000000001</v>
      </c>
      <c r="D28" s="417">
        <f>IF('NIH Modular Budget Template'!$R$8="N",B28,IF($D$24&lt;=$H$4,(+VLOOKUP($A28,$A$6:$H$13,D$25+2,FALSE)*(VLOOKUP($A28,$A$16:$I$23,9,FALSE)^(MAX(0,$D$24-$H$4)))),H8))</f>
        <v>0.32900000000000001</v>
      </c>
      <c r="E28" s="417">
        <f>IF('NIH Modular Budget Template'!$R$8="N",B28,IF($E$24&lt;=$H$4,(+VLOOKUP($A28,$A$6:$H$13,E$25+2,FALSE)*(VLOOKUP($A28,$A$16:$I$23,9,FALSE)^(MAX(0,$E$24-$H$4)))),H8))</f>
        <v>0.33140000000000003</v>
      </c>
      <c r="F28" s="417">
        <f>IF('NIH Modular Budget Template'!$R$8="N",B28,IF($F$24&lt;=$H$4,(+VLOOKUP($A28,$A$6:$H$13,F$25+2,FALSE)*(VLOOKUP($A28,$A$16:$I$23,9,FALSE)^(MAX(0,$F$24-$H$4)))),H8))</f>
        <v>0.32927999999999996</v>
      </c>
      <c r="G28" s="98"/>
      <c r="H28" s="367"/>
      <c r="I28" s="98"/>
      <c r="L28" s="358"/>
    </row>
    <row r="29" spans="1:12" x14ac:dyDescent="0.2">
      <c r="A29" s="416" t="s">
        <v>190</v>
      </c>
      <c r="B29" s="417">
        <f t="shared" si="4"/>
        <v>1.0940000000000001</v>
      </c>
      <c r="C29" s="417">
        <f>IF('NIH Modular Budget Template'!$R$8="N",B29,IF($C$24&lt;=$H$4,(+VLOOKUP($A29,$A$6:$H$13,C$25+2,FALSE)*(VLOOKUP($A29,$A$16:$I$23,9,FALSE)^(MAX(0,$C$24-$H$4)))),H9))</f>
        <v>1.0489999999999999</v>
      </c>
      <c r="D29" s="417">
        <f>IF('NIH Modular Budget Template'!$R$8="N",B29,IF($D$24&lt;=$H$4,(+VLOOKUP($A29,$A$6:$H$13,D$25+2,FALSE)*(VLOOKUP($A29,$A$16:$I$23,9,FALSE)^(MAX(0,$D$24-$H$4)))),H9))</f>
        <v>1.0640000000000001</v>
      </c>
      <c r="E29" s="417">
        <f>IF('NIH Modular Budget Template'!$R$8="N",B29,IF($E$24&lt;=$H$4,(+VLOOKUP($A29,$A$6:$H$13,E$25+2,FALSE)*(VLOOKUP($A29,$A$16:$I$23,9,FALSE)^(MAX(0,$E$24-$H$4)))),H9))</f>
        <v>1.0660000000000001</v>
      </c>
      <c r="F29" s="417">
        <f>IF('NIH Modular Budget Template'!$R$8="N",B29,IF($F$24&lt;=$H$4,(+VLOOKUP($A29,$A$6:$H$13,F$25+2,FALSE)*(VLOOKUP($A29,$A$16:$I$23,9,FALSE)^(MAX(0,$F$24-$H$4)))),H9))</f>
        <v>1.0694000000000001</v>
      </c>
      <c r="G29" s="98"/>
      <c r="H29" s="367"/>
      <c r="I29" s="98"/>
      <c r="L29" s="358"/>
    </row>
    <row r="30" spans="1:12" x14ac:dyDescent="0.2">
      <c r="A30" s="416" t="s">
        <v>191</v>
      </c>
      <c r="B30" s="417">
        <f t="shared" si="4"/>
        <v>0.90100000000000002</v>
      </c>
      <c r="C30" s="417">
        <f>IF('NIH Modular Budget Template'!$R$8="N",B30,IF($C$24&lt;=$H$4,(+VLOOKUP($A30,$A$6:$H$13,C$25+2,FALSE)*(VLOOKUP($A30,$A$16:$I$23,9,FALSE)^(MAX(0,$C$24-$H$4)))),H10))</f>
        <v>0.89100000000000001</v>
      </c>
      <c r="D30" s="417">
        <f>IF('NIH Modular Budget Template'!$R$8="N",B30,IF($D$24&lt;=$H$4,(+VLOOKUP($A30,$A$6:$H$13,D$25+2,FALSE)*(VLOOKUP($A30,$A$16:$I$23,9,FALSE)^(MAX(0,$D$24-$H$4)))),H10))</f>
        <v>0.89800000000000002</v>
      </c>
      <c r="E30" s="417">
        <f>IF('NIH Modular Budget Template'!$R$8="N",B30,IF($E$24&lt;=$H$4,(+VLOOKUP($A30,$A$6:$H$13,E$25+2,FALSE)*(VLOOKUP($A30,$A$16:$I$23,9,FALSE)^(MAX(0,$E$24-$H$4)))),H10))</f>
        <v>0.88460000000000005</v>
      </c>
      <c r="F30" s="417">
        <f>IF('NIH Modular Budget Template'!$R$8="N",B30,IF($F$24&lt;=$H$4,(+VLOOKUP($A30,$A$6:$H$13,F$25+2,FALSE)*(VLOOKUP($A30,$A$16:$I$23,9,FALSE)^(MAX(0,$F$24-$H$4)))),H10))</f>
        <v>0.89692000000000005</v>
      </c>
      <c r="G30" s="98"/>
      <c r="H30" s="98"/>
      <c r="I30" s="98"/>
      <c r="L30" s="358"/>
    </row>
    <row r="31" spans="1:12" x14ac:dyDescent="0.2">
      <c r="A31" s="416" t="s">
        <v>192</v>
      </c>
      <c r="B31" s="417">
        <f t="shared" si="4"/>
        <v>0.81399999999999995</v>
      </c>
      <c r="C31" s="417">
        <f>IF('NIH Modular Budget Template'!$R$8="N",B31,IF($C$24&lt;=$H$4,(+VLOOKUP($A31,$A$6:$H$13,C$25+2,FALSE)*(VLOOKUP($A31,$A$16:$I$23,9,FALSE)^(MAX(0,$C$24-$H$4)))),H11))</f>
        <v>0.79300000000000004</v>
      </c>
      <c r="D31" s="417">
        <f>IF('NIH Modular Budget Template'!$R$8="N",B31,IF($D$24&lt;=$H$4,(+VLOOKUP($A31,$A$6:$H$13,D$25+2,FALSE)*(VLOOKUP($A31,$A$16:$I$23,9,FALSE)^(MAX(0,$D$24-$H$4)))),H11))</f>
        <v>0.79800000000000004</v>
      </c>
      <c r="E31" s="417">
        <f>IF('NIH Modular Budget Template'!$R$8="N",B31,IF($E$24&lt;=$H$4,(+VLOOKUP($A31,$A$6:$H$13,E$25+2,FALSE)*(VLOOKUP($A31,$A$16:$I$23,9,FALSE)^(MAX(0,$E$24-$H$4)))),H11))</f>
        <v>0.80059999999999998</v>
      </c>
      <c r="F31" s="417">
        <f>IF('NIH Modular Budget Template'!$R$8="N",B31,IF($F$24&lt;=$H$4,(+VLOOKUP($A31,$A$6:$H$13,F$25+2,FALSE)*(VLOOKUP($A31,$A$16:$I$23,9,FALSE)^(MAX(0,$F$24-$H$4)))),H11))</f>
        <v>0.80152000000000001</v>
      </c>
      <c r="G31" s="98"/>
      <c r="H31" s="98"/>
      <c r="I31" s="98"/>
      <c r="L31" s="358"/>
    </row>
    <row r="32" spans="1:12" x14ac:dyDescent="0.2">
      <c r="A32" s="416" t="s">
        <v>226</v>
      </c>
      <c r="B32" s="417">
        <f t="shared" si="4"/>
        <v>0.218</v>
      </c>
      <c r="C32" s="417">
        <f>IF('NIH Modular Budget Template'!$R$8="N",B32,IF($C$24&lt;=$H$4,(+VLOOKUP($A32,$A$6:$H$13,C$25+2,FALSE)*(VLOOKUP($A32,$A$16:$I$23,9,FALSE)^(MAX(0,$C$24-$H$4)))),H12))</f>
        <v>0.31</v>
      </c>
      <c r="D32" s="417">
        <f>IF('NIH Modular Budget Template'!$R$8="N",B32,IF($D$24&lt;=$H$4,(+VLOOKUP($A32,$A$6:$H$13,D$25+2,FALSE)*(VLOOKUP($A32,$A$16:$I$23,9,FALSE)^(MAX(0,$D$24-$H$4)))),H12))</f>
        <v>0.313</v>
      </c>
      <c r="E32" s="417">
        <f>IF('NIH Modular Budget Template'!$R$8="N",B32,IF($E$24&lt;=$H$4,(+VLOOKUP($A32,$A$6:$H$13,E$25+2,FALSE)*(VLOOKUP($A32,$A$16:$I$23,9,FALSE)^(MAX(0,$E$24-$H$4)))),H12))</f>
        <v>0.28500000000000003</v>
      </c>
      <c r="F32" s="417">
        <f>IF('NIH Modular Budget Template'!$R$8="N",B32,IF($F$24&lt;=$H$4,(+VLOOKUP($A32,$A$6:$H$13,F$25+2,FALSE)*(VLOOKUP($A32,$A$16:$I$23,9,FALSE)^(MAX(0,$F$24-$H$4)))),H12))</f>
        <v>0.28979999999999995</v>
      </c>
      <c r="G32" s="98"/>
      <c r="H32" s="98"/>
      <c r="I32" s="98"/>
      <c r="L32" s="358"/>
    </row>
    <row r="33" spans="1:12" x14ac:dyDescent="0.2">
      <c r="A33" s="416" t="s">
        <v>222</v>
      </c>
      <c r="B33" s="417">
        <f t="shared" si="4"/>
        <v>3.6999999999999998E-2</v>
      </c>
      <c r="C33" s="417">
        <f>IF('NIH Modular Budget Template'!$R$8="N",B33,IF($C$24&lt;=$H$4,(+VLOOKUP($A33,$A$6:$H$13,C$25+2,FALSE)*(VLOOKUP($A33,$A$16:$I$23,9,FALSE)^(MAX(0,$C$24-$H$4)))),H13))</f>
        <v>3.4000000000000002E-2</v>
      </c>
      <c r="D33" s="417">
        <f>IF('NIH Modular Budget Template'!$R$8="N",B33,IF($D$24&lt;=$H$4,(+VLOOKUP($A33,$A$6:$H$13,D$25+2,FALSE)*(VLOOKUP($A33,$A$16:$I$23,9,FALSE)^(MAX(0,$D$24-$H$4)))),H13))</f>
        <v>3.4000000000000002E-2</v>
      </c>
      <c r="E33" s="417">
        <f>IF('NIH Modular Budget Template'!$R$8="N",B33,IF($E$24&lt;=$H$4,(+VLOOKUP($A33,$A$6:$H$13,E$25+2,FALSE)*(VLOOKUP($A33,$A$16:$I$23,9,FALSE)^(MAX(0,$E$24-$H$4)))),H13))</f>
        <v>3.5200000000000002E-2</v>
      </c>
      <c r="F33" s="417">
        <f>IF('NIH Modular Budget Template'!$R$8="N",B33,IF($F$24&lt;=$H$4,(+VLOOKUP($A33,$A$6:$H$13,F$25+2,FALSE)*(VLOOKUP($A33,$A$16:$I$23,9,FALSE)^(MAX(0,$F$24-$H$4)))),H13))</f>
        <v>3.4640000000000004E-2</v>
      </c>
      <c r="G33" s="98"/>
      <c r="H33" s="368"/>
      <c r="I33" s="98"/>
      <c r="L33" s="359"/>
    </row>
    <row r="34" spans="1:12" x14ac:dyDescent="0.2">
      <c r="A34" s="359"/>
      <c r="B34" s="432"/>
      <c r="C34" s="432"/>
      <c r="D34" s="432"/>
      <c r="E34" s="432"/>
      <c r="F34" s="432"/>
      <c r="G34" s="98"/>
      <c r="H34" s="368"/>
      <c r="I34" s="98"/>
      <c r="L34" s="359"/>
    </row>
    <row r="35" spans="1:12" ht="14.25" hidden="1" x14ac:dyDescent="0.2">
      <c r="A35" s="436" t="s">
        <v>287</v>
      </c>
      <c r="B35" s="432"/>
      <c r="C35" s="432"/>
      <c r="D35" s="432"/>
      <c r="E35" s="432"/>
      <c r="F35" s="432"/>
      <c r="G35" s="98"/>
      <c r="H35" s="368"/>
      <c r="I35" s="98"/>
      <c r="L35" s="359"/>
    </row>
    <row r="36" spans="1:12" ht="15" hidden="1" x14ac:dyDescent="0.2">
      <c r="A36" s="437" t="s">
        <v>288</v>
      </c>
      <c r="B36" s="432"/>
      <c r="C36" s="432"/>
      <c r="D36" s="432"/>
      <c r="E36" s="432"/>
      <c r="F36" s="432"/>
      <c r="G36" s="98"/>
      <c r="H36" s="368"/>
      <c r="I36" s="98"/>
      <c r="L36" s="359"/>
    </row>
    <row r="37" spans="1:12" ht="15" hidden="1" x14ac:dyDescent="0.2">
      <c r="A37" s="437" t="s">
        <v>289</v>
      </c>
      <c r="B37" s="432"/>
      <c r="C37" s="432"/>
      <c r="D37" s="432"/>
      <c r="E37" s="432"/>
      <c r="F37" s="432"/>
      <c r="G37" s="98"/>
      <c r="H37" s="368"/>
      <c r="I37" s="98"/>
      <c r="L37" s="359"/>
    </row>
    <row r="38" spans="1:12" ht="5.25" hidden="1" customHeight="1" x14ac:dyDescent="0.2">
      <c r="A38" s="437"/>
      <c r="B38" s="359"/>
      <c r="C38" s="359"/>
      <c r="D38" s="358"/>
      <c r="E38" s="358"/>
      <c r="F38" s="321"/>
      <c r="G38" s="321"/>
      <c r="H38" s="321"/>
      <c r="I38" s="321"/>
      <c r="L38" s="359"/>
    </row>
    <row r="39" spans="1:12" ht="15" hidden="1" x14ac:dyDescent="0.2">
      <c r="A39" s="437" t="s">
        <v>290</v>
      </c>
      <c r="B39" s="359"/>
      <c r="C39" s="359"/>
      <c r="D39" s="358"/>
      <c r="E39" s="358"/>
      <c r="F39" s="321"/>
      <c r="G39" s="321"/>
      <c r="H39" s="321"/>
      <c r="I39" s="321"/>
      <c r="L39" s="359"/>
    </row>
    <row r="40" spans="1:12" ht="15" hidden="1" x14ac:dyDescent="0.2">
      <c r="A40" s="437"/>
      <c r="B40" s="359"/>
      <c r="C40" s="359"/>
      <c r="D40" s="358"/>
      <c r="E40" s="358"/>
      <c r="F40" s="321"/>
      <c r="G40" s="321"/>
      <c r="H40" s="321"/>
      <c r="I40" s="321"/>
      <c r="L40" s="359"/>
    </row>
    <row r="41" spans="1:12" hidden="1" x14ac:dyDescent="0.2">
      <c r="A41" s="369" t="s">
        <v>294</v>
      </c>
      <c r="B41" s="369"/>
      <c r="C41" s="359"/>
      <c r="D41" s="358"/>
      <c r="E41" s="358"/>
      <c r="F41" s="321"/>
      <c r="G41" s="321"/>
      <c r="H41" s="321"/>
      <c r="I41" s="321"/>
      <c r="L41" s="359"/>
    </row>
    <row r="42" spans="1:12" hidden="1" x14ac:dyDescent="0.2">
      <c r="A42" s="359" t="s">
        <v>231</v>
      </c>
      <c r="B42" s="359"/>
      <c r="C42" s="359"/>
      <c r="D42" s="358"/>
      <c r="E42" s="358"/>
      <c r="F42" s="321"/>
      <c r="G42" s="321"/>
      <c r="H42" s="368"/>
      <c r="I42" s="321"/>
      <c r="L42" s="359"/>
    </row>
    <row r="43" spans="1:12" hidden="1" x14ac:dyDescent="0.2">
      <c r="A43" s="359" t="s">
        <v>232</v>
      </c>
      <c r="B43" s="359"/>
      <c r="C43" s="359"/>
      <c r="D43" s="358"/>
      <c r="E43" s="358"/>
      <c r="F43" s="321"/>
      <c r="G43" s="321"/>
      <c r="H43" s="321"/>
      <c r="I43" s="321"/>
      <c r="L43" s="359"/>
    </row>
    <row r="44" spans="1:12" hidden="1" x14ac:dyDescent="0.2">
      <c r="A44" s="359"/>
      <c r="B44" s="359"/>
      <c r="C44" s="359"/>
      <c r="D44" s="358"/>
      <c r="E44" s="358"/>
      <c r="F44" s="321"/>
      <c r="G44" s="321"/>
      <c r="H44" s="321"/>
      <c r="I44" s="321"/>
      <c r="L44" s="359"/>
    </row>
    <row r="45" spans="1:12" ht="14.25" hidden="1" x14ac:dyDescent="0.2">
      <c r="A45" s="438" t="s">
        <v>291</v>
      </c>
      <c r="B45" s="438"/>
      <c r="C45" s="438"/>
      <c r="D45" s="438"/>
      <c r="E45" s="438"/>
      <c r="F45" s="321"/>
      <c r="G45" s="321"/>
      <c r="H45" s="321"/>
      <c r="I45" s="321"/>
      <c r="L45" s="359"/>
    </row>
    <row r="46" spans="1:12" hidden="1" x14ac:dyDescent="0.2">
      <c r="A46" s="369" t="s">
        <v>292</v>
      </c>
      <c r="B46" s="369"/>
      <c r="C46" s="359"/>
      <c r="D46" s="359"/>
      <c r="E46" s="433" t="s">
        <v>293</v>
      </c>
      <c r="F46" s="433"/>
      <c r="G46" s="321"/>
      <c r="H46" s="321"/>
      <c r="I46" s="321"/>
      <c r="L46" s="359"/>
    </row>
    <row r="47" spans="1:12" hidden="1" x14ac:dyDescent="0.2">
      <c r="A47" s="359" t="s">
        <v>233</v>
      </c>
      <c r="B47" s="359"/>
      <c r="C47" s="359"/>
      <c r="D47" s="359"/>
      <c r="E47" s="359"/>
      <c r="F47" s="359"/>
      <c r="G47" s="370"/>
      <c r="H47" s="370"/>
      <c r="I47" s="370"/>
      <c r="L47" s="359"/>
    </row>
    <row r="48" spans="1:12" hidden="1" x14ac:dyDescent="0.2">
      <c r="A48" s="359" t="s">
        <v>234</v>
      </c>
      <c r="B48" s="359"/>
      <c r="C48" s="359"/>
      <c r="D48" s="359"/>
      <c r="E48" s="359"/>
      <c r="F48" s="359"/>
      <c r="G48" s="370"/>
      <c r="H48" s="370"/>
      <c r="I48" s="370"/>
      <c r="L48" s="359"/>
    </row>
    <row r="49" spans="1:12" hidden="1" x14ac:dyDescent="0.2">
      <c r="A49" s="359" t="s">
        <v>235</v>
      </c>
      <c r="B49" s="359"/>
      <c r="C49" s="359"/>
      <c r="D49" s="359"/>
      <c r="E49" s="359"/>
      <c r="F49" s="359"/>
      <c r="G49" s="370"/>
      <c r="H49" s="370"/>
      <c r="I49" s="370"/>
      <c r="L49" s="359"/>
    </row>
    <row r="50" spans="1:12" hidden="1" x14ac:dyDescent="0.2">
      <c r="A50" s="359" t="s">
        <v>236</v>
      </c>
      <c r="B50" s="359"/>
      <c r="C50" s="359"/>
      <c r="D50" s="359"/>
      <c r="E50" s="359"/>
      <c r="F50" s="359"/>
      <c r="G50" s="370"/>
      <c r="H50" s="370"/>
      <c r="I50" s="370"/>
      <c r="L50" s="359"/>
    </row>
    <row r="51" spans="1:12" hidden="1" x14ac:dyDescent="0.2">
      <c r="A51" s="359"/>
      <c r="B51" s="371"/>
      <c r="C51" s="371"/>
      <c r="D51" s="371"/>
      <c r="E51" s="371"/>
      <c r="F51" s="371"/>
      <c r="G51" s="370"/>
      <c r="H51" s="370"/>
      <c r="I51" s="370"/>
      <c r="L51" s="359"/>
    </row>
    <row r="52" spans="1:12" hidden="1" x14ac:dyDescent="0.2">
      <c r="A52" s="359" t="s">
        <v>237</v>
      </c>
      <c r="B52" s="372"/>
      <c r="C52" s="372"/>
      <c r="D52" s="372"/>
      <c r="E52" s="372"/>
      <c r="F52" s="372"/>
      <c r="G52" s="370"/>
      <c r="H52" s="370"/>
      <c r="I52" s="370"/>
      <c r="L52" s="359"/>
    </row>
    <row r="53" spans="1:12" hidden="1" x14ac:dyDescent="0.2">
      <c r="A53" s="359" t="s">
        <v>238</v>
      </c>
      <c r="B53" s="372"/>
      <c r="C53" s="359"/>
      <c r="D53" s="359"/>
      <c r="E53" s="370"/>
      <c r="F53" s="370"/>
      <c r="G53" s="370"/>
      <c r="H53" s="370"/>
      <c r="I53" s="370"/>
      <c r="L53" s="359"/>
    </row>
    <row r="54" spans="1:12" hidden="1" x14ac:dyDescent="0.2">
      <c r="A54" s="359" t="s">
        <v>239</v>
      </c>
      <c r="B54" s="372"/>
      <c r="C54" s="359"/>
      <c r="D54" s="359"/>
      <c r="E54" s="370"/>
      <c r="F54" s="370"/>
      <c r="G54" s="370"/>
      <c r="H54" s="370"/>
      <c r="I54" s="370"/>
      <c r="L54" s="359"/>
    </row>
    <row r="55" spans="1:12" hidden="1" x14ac:dyDescent="0.2">
      <c r="A55" s="359" t="s">
        <v>240</v>
      </c>
      <c r="B55" s="372"/>
      <c r="C55" s="359"/>
      <c r="D55" s="359"/>
      <c r="E55" s="370"/>
      <c r="F55" s="370"/>
      <c r="G55" s="370"/>
      <c r="H55" s="370"/>
      <c r="I55" s="370"/>
      <c r="L55" s="359"/>
    </row>
    <row r="56" spans="1:12" hidden="1" x14ac:dyDescent="0.2">
      <c r="A56" s="359" t="s">
        <v>241</v>
      </c>
      <c r="B56" s="372"/>
      <c r="C56" s="359"/>
      <c r="D56" s="359"/>
      <c r="E56" s="370"/>
      <c r="F56" s="370"/>
      <c r="G56" s="370"/>
      <c r="H56" s="370"/>
      <c r="I56" s="370"/>
      <c r="L56" s="359"/>
    </row>
    <row r="57" spans="1:12" hidden="1" x14ac:dyDescent="0.2">
      <c r="A57" s="359" t="s">
        <v>242</v>
      </c>
      <c r="B57" s="372"/>
      <c r="C57" s="359"/>
      <c r="D57" s="359"/>
      <c r="E57" s="359"/>
      <c r="F57" s="321"/>
      <c r="G57" s="321"/>
      <c r="H57" s="321"/>
      <c r="I57" s="321"/>
      <c r="L57" s="359"/>
    </row>
    <row r="58" spans="1:12" hidden="1" x14ac:dyDescent="0.2">
      <c r="A58" s="359" t="s">
        <v>243</v>
      </c>
      <c r="B58" s="359"/>
      <c r="C58" s="359"/>
      <c r="D58" s="359"/>
      <c r="E58" s="359"/>
      <c r="F58" s="321"/>
      <c r="G58" s="321"/>
      <c r="H58" s="321"/>
      <c r="I58" s="321"/>
      <c r="L58" s="359"/>
    </row>
    <row r="59" spans="1:12" hidden="1" x14ac:dyDescent="0.2">
      <c r="A59" s="359" t="s">
        <v>244</v>
      </c>
      <c r="B59" s="359"/>
      <c r="C59" s="359"/>
      <c r="D59" s="359"/>
      <c r="E59" s="359"/>
      <c r="F59" s="321"/>
      <c r="G59" s="321"/>
      <c r="H59" s="321"/>
      <c r="I59" s="321"/>
      <c r="L59" s="359"/>
    </row>
    <row r="60" spans="1:12" hidden="1" x14ac:dyDescent="0.2">
      <c r="A60" s="359" t="s">
        <v>245</v>
      </c>
      <c r="B60" s="359"/>
      <c r="C60" s="359"/>
      <c r="D60" s="358"/>
      <c r="E60" s="358"/>
      <c r="F60" s="321"/>
      <c r="G60" s="321"/>
      <c r="H60" s="321"/>
      <c r="I60" s="321"/>
      <c r="L60" s="359"/>
    </row>
    <row r="61" spans="1:12" hidden="1" x14ac:dyDescent="0.2">
      <c r="A61" s="359" t="s">
        <v>246</v>
      </c>
      <c r="B61" s="359"/>
      <c r="C61" s="359"/>
      <c r="D61" s="358"/>
      <c r="E61" s="358"/>
      <c r="F61" s="321"/>
      <c r="G61" s="321"/>
      <c r="H61" s="321"/>
      <c r="I61" s="321"/>
      <c r="L61" s="358"/>
    </row>
    <row r="62" spans="1:12" hidden="1" x14ac:dyDescent="0.2">
      <c r="A62" s="359"/>
      <c r="B62" s="359"/>
      <c r="C62" s="359"/>
      <c r="D62" s="359"/>
      <c r="E62" s="359"/>
      <c r="F62" s="321"/>
      <c r="G62" s="321"/>
      <c r="H62" s="321"/>
      <c r="I62" s="321"/>
      <c r="L62" s="358"/>
    </row>
    <row r="63" spans="1:12" hidden="1" x14ac:dyDescent="0.2">
      <c r="A63" s="373" t="s">
        <v>247</v>
      </c>
      <c r="B63" s="373"/>
      <c r="C63" s="373"/>
      <c r="D63" s="373"/>
      <c r="E63" s="373"/>
      <c r="F63" s="374"/>
      <c r="G63" s="321"/>
      <c r="H63" s="321"/>
      <c r="I63" s="321"/>
      <c r="L63" s="359"/>
    </row>
    <row r="64" spans="1:12" hidden="1" x14ac:dyDescent="0.2">
      <c r="B64" s="359"/>
      <c r="C64" s="359"/>
      <c r="D64" s="359"/>
      <c r="E64" s="359"/>
      <c r="F64" s="321"/>
      <c r="G64" s="321"/>
      <c r="H64" s="321"/>
      <c r="I64" s="321"/>
      <c r="L64" s="359"/>
    </row>
    <row r="65" spans="1:12" hidden="1" x14ac:dyDescent="0.2">
      <c r="A65" s="373" t="s">
        <v>248</v>
      </c>
      <c r="B65" s="373"/>
      <c r="C65" s="373"/>
      <c r="D65" s="373"/>
      <c r="E65" s="373"/>
      <c r="F65" s="374"/>
      <c r="G65" s="321"/>
      <c r="H65" s="321"/>
      <c r="I65" s="321"/>
      <c r="L65" s="359"/>
    </row>
    <row r="66" spans="1:12" hidden="1" x14ac:dyDescent="0.2">
      <c r="A66" s="373" t="s">
        <v>249</v>
      </c>
      <c r="B66" s="373"/>
      <c r="C66" s="373"/>
      <c r="D66" s="373"/>
      <c r="E66" s="373"/>
      <c r="F66" s="374"/>
      <c r="G66" s="321"/>
      <c r="H66" s="321"/>
      <c r="I66" s="321"/>
      <c r="L66" s="359"/>
    </row>
    <row r="67" spans="1:12" hidden="1" x14ac:dyDescent="0.2">
      <c r="A67" s="373" t="s">
        <v>250</v>
      </c>
      <c r="B67" s="373"/>
      <c r="C67" s="373"/>
      <c r="D67" s="373"/>
      <c r="E67" s="373"/>
      <c r="F67" s="374"/>
      <c r="G67" s="321"/>
      <c r="H67" s="321"/>
      <c r="I67" s="321"/>
      <c r="L67" s="359"/>
    </row>
    <row r="68" spans="1:12" hidden="1" x14ac:dyDescent="0.2">
      <c r="A68" s="373" t="s">
        <v>251</v>
      </c>
      <c r="B68" s="373"/>
      <c r="C68" s="373"/>
      <c r="D68" s="373"/>
      <c r="E68" s="373"/>
      <c r="F68" s="374"/>
      <c r="G68" s="321"/>
      <c r="H68" s="321"/>
      <c r="I68" s="321"/>
      <c r="L68" s="359"/>
    </row>
    <row r="69" spans="1:12" x14ac:dyDescent="0.2">
      <c r="A69" s="359"/>
      <c r="B69" s="359"/>
      <c r="C69" s="359"/>
      <c r="D69" s="359"/>
      <c r="E69" s="359"/>
      <c r="F69" s="321"/>
      <c r="G69" s="321"/>
      <c r="H69" s="321"/>
      <c r="I69" s="321"/>
      <c r="L69" s="359"/>
    </row>
    <row r="70" spans="1:12" x14ac:dyDescent="0.2">
      <c r="A70" s="359"/>
      <c r="B70" s="359"/>
      <c r="C70" s="359"/>
      <c r="D70" s="359"/>
      <c r="E70" s="359"/>
      <c r="F70" s="321"/>
      <c r="G70" s="321"/>
      <c r="H70" s="321"/>
      <c r="I70" s="321"/>
      <c r="L70" s="359"/>
    </row>
    <row r="71" spans="1:12" x14ac:dyDescent="0.2">
      <c r="A71" s="359"/>
      <c r="B71" s="359"/>
      <c r="C71" s="359"/>
      <c r="D71" s="359"/>
      <c r="E71" s="359"/>
      <c r="F71" s="321"/>
      <c r="G71" s="321"/>
      <c r="H71" s="321"/>
      <c r="I71" s="321"/>
      <c r="L71" s="359"/>
    </row>
    <row r="72" spans="1:12" x14ac:dyDescent="0.2">
      <c r="A72" s="359"/>
      <c r="B72" s="359"/>
      <c r="C72" s="359"/>
      <c r="D72" s="359"/>
      <c r="E72" s="359"/>
      <c r="F72" s="321"/>
      <c r="G72" s="321"/>
      <c r="H72" s="321"/>
      <c r="I72" s="321"/>
      <c r="L72" s="359"/>
    </row>
    <row r="73" spans="1:12" x14ac:dyDescent="0.2">
      <c r="A73" s="359"/>
      <c r="B73" s="359"/>
      <c r="C73" s="359"/>
      <c r="D73" s="359"/>
      <c r="E73" s="359"/>
      <c r="F73" s="321"/>
      <c r="G73" s="321"/>
      <c r="H73" s="321"/>
      <c r="I73" s="321"/>
      <c r="L73" s="359"/>
    </row>
    <row r="74" spans="1:12" x14ac:dyDescent="0.2">
      <c r="A74" s="359"/>
      <c r="B74" s="359"/>
      <c r="C74" s="359"/>
      <c r="D74" s="359"/>
      <c r="E74" s="359"/>
      <c r="F74" s="321"/>
      <c r="G74" s="321"/>
      <c r="H74" s="321"/>
      <c r="I74" s="321"/>
      <c r="L74" s="359"/>
    </row>
    <row r="75" spans="1:12" x14ac:dyDescent="0.2">
      <c r="A75" s="359"/>
      <c r="B75" s="359"/>
      <c r="C75" s="359"/>
      <c r="D75" s="359"/>
      <c r="E75" s="359"/>
      <c r="F75" s="321"/>
      <c r="G75" s="321"/>
      <c r="H75" s="321"/>
      <c r="I75" s="321"/>
      <c r="L75" s="359"/>
    </row>
    <row r="76" spans="1:12" x14ac:dyDescent="0.2">
      <c r="A76" s="359"/>
      <c r="B76" s="359"/>
      <c r="C76" s="359"/>
      <c r="D76" s="359"/>
      <c r="E76" s="359"/>
      <c r="F76" s="321"/>
      <c r="G76" s="321"/>
      <c r="H76" s="321"/>
      <c r="I76" s="321"/>
      <c r="L76" s="359"/>
    </row>
    <row r="77" spans="1:12" x14ac:dyDescent="0.2">
      <c r="A77" s="359"/>
      <c r="B77" s="359"/>
      <c r="C77" s="359"/>
      <c r="D77" s="359"/>
      <c r="E77" s="359"/>
      <c r="F77" s="321"/>
      <c r="G77" s="321"/>
      <c r="H77" s="321"/>
      <c r="I77" s="321"/>
      <c r="L77" s="359"/>
    </row>
    <row r="78" spans="1:12" x14ac:dyDescent="0.2">
      <c r="A78" s="359"/>
      <c r="B78" s="359"/>
      <c r="C78" s="359"/>
      <c r="D78" s="359"/>
      <c r="E78" s="359"/>
      <c r="F78" s="321"/>
      <c r="G78" s="321"/>
      <c r="H78" s="321"/>
      <c r="I78" s="321"/>
      <c r="L78" s="359"/>
    </row>
    <row r="79" spans="1:12" x14ac:dyDescent="0.2">
      <c r="A79" s="375"/>
      <c r="B79" s="359"/>
      <c r="C79" s="359"/>
      <c r="D79" s="359"/>
      <c r="E79" s="359"/>
      <c r="F79" s="1"/>
      <c r="G79" s="1"/>
      <c r="H79" s="1"/>
      <c r="I79" s="1"/>
      <c r="L79" s="359"/>
    </row>
    <row r="80" spans="1:12" x14ac:dyDescent="0.2">
      <c r="A80" s="375"/>
      <c r="B80" s="359"/>
      <c r="C80" s="359"/>
      <c r="D80" s="359"/>
      <c r="E80" s="359"/>
      <c r="F80" s="1"/>
      <c r="G80" s="1"/>
      <c r="H80" s="1"/>
      <c r="I80" s="1"/>
    </row>
    <row r="81" spans="1:9" x14ac:dyDescent="0.2">
      <c r="A81" s="375"/>
      <c r="B81" s="359"/>
      <c r="C81" s="359"/>
      <c r="D81" s="359"/>
      <c r="E81" s="359"/>
      <c r="F81" s="1"/>
      <c r="G81" s="1"/>
      <c r="H81" s="1"/>
      <c r="I81" s="1"/>
    </row>
    <row r="82" spans="1:9" x14ac:dyDescent="0.2">
      <c r="A82" s="375"/>
      <c r="B82" s="359"/>
      <c r="C82" s="359"/>
      <c r="D82" s="359"/>
      <c r="E82" s="359"/>
      <c r="F82" s="1"/>
      <c r="G82" s="1"/>
      <c r="H82" s="1"/>
      <c r="I82" s="1"/>
    </row>
    <row r="83" spans="1:9" x14ac:dyDescent="0.2">
      <c r="A83" s="375"/>
      <c r="B83" s="359"/>
      <c r="C83" s="359"/>
      <c r="D83" s="359"/>
      <c r="E83" s="359"/>
      <c r="F83" s="1"/>
      <c r="G83" s="1"/>
      <c r="H83" s="1"/>
      <c r="I83" s="1"/>
    </row>
    <row r="84" spans="1:9" x14ac:dyDescent="0.2">
      <c r="A84" s="375"/>
      <c r="B84" s="359"/>
      <c r="C84" s="359"/>
      <c r="D84" s="359"/>
      <c r="E84" s="359"/>
      <c r="F84" s="1"/>
      <c r="G84" s="1"/>
      <c r="H84" s="1"/>
      <c r="I84" s="1"/>
    </row>
    <row r="85" spans="1:9" x14ac:dyDescent="0.2">
      <c r="A85" s="375"/>
      <c r="B85" s="359"/>
      <c r="C85" s="359"/>
      <c r="D85" s="359"/>
      <c r="E85" s="359"/>
      <c r="F85" s="1"/>
      <c r="G85" s="1"/>
      <c r="H85" s="1"/>
      <c r="I85" s="1"/>
    </row>
    <row r="86" spans="1:9" x14ac:dyDescent="0.2">
      <c r="A86" s="375"/>
      <c r="B86" s="359"/>
      <c r="C86" s="359"/>
      <c r="D86" s="359"/>
      <c r="E86" s="359"/>
      <c r="F86" s="359"/>
      <c r="G86" s="359"/>
      <c r="H86" s="359"/>
      <c r="I86" s="359"/>
    </row>
  </sheetData>
  <sheetProtection algorithmName="SHA-512" hashValue="P9xN4HmGpDkRg+wa8+Y63Oa/6DaK0oCdhuYNL6Iw/tx+rkp0Rpb2q+6e+z/M7EsmKt5CaCoDiYQG7+pRHtJBBA==" saltValue="dR0/BjlEFrF6ENxvjDg86Q==" spinCount="100000" sheet="1"/>
  <mergeCells count="5">
    <mergeCell ref="A4:A5"/>
    <mergeCell ref="I4:I5"/>
    <mergeCell ref="A1:A2"/>
    <mergeCell ref="B3:C3"/>
    <mergeCell ref="D3:F3"/>
  </mergeCells>
  <hyperlinks>
    <hyperlink ref="B3" r:id="rId1" xr:uid="{9F654EBF-1E7C-4695-9046-BEAADFA5E31B}"/>
    <hyperlink ref="D3" r:id="rId2" xr:uid="{677A0546-2488-4A88-A68C-73995D650BBA}"/>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NIH Modular Budget Template</vt:lpstr>
      <vt:lpstr>Person Month Conversion tool</vt:lpstr>
      <vt:lpstr>NIH Sal Cap Calculator</vt:lpstr>
      <vt:lpstr>F&amp;A History</vt:lpstr>
      <vt:lpstr>Eclass OPE Rates</vt:lpstr>
      <vt:lpstr>'NIH Modular Budget Template'!Print_Area</vt:lpstr>
      <vt:lpstr>'NIH Modular Budget Template'!Print_Titles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year budget, 8/04</dc:title>
  <dc:creator>ORSP-1</dc:creator>
  <cp:lastModifiedBy>Jennifer Clark</cp:lastModifiedBy>
  <cp:lastPrinted>2017-03-30T15:49:03Z</cp:lastPrinted>
  <dcterms:created xsi:type="dcterms:W3CDTF">1999-06-18T21:53:54Z</dcterms:created>
  <dcterms:modified xsi:type="dcterms:W3CDTF">2026-09-25T18:00:43Z</dcterms:modified>
</cp:coreProperties>
</file>