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09-14-2026\"/>
    </mc:Choice>
  </mc:AlternateContent>
  <xr:revisionPtr revIDLastSave="0" documentId="13_ncr:1_{E650BC2C-8F5B-4454-A6A4-304D577A5228}" xr6:coauthVersionLast="47" xr6:coauthVersionMax="47" xr10:uidLastSave="{00000000-0000-0000-0000-000000000000}"/>
  <bookViews>
    <workbookView xWindow="-23148" yWindow="-276" windowWidth="23256" windowHeight="12456" firstSheet="1" xr2:uid="{5FC1F842-48A8-47AF-8B8B-2E4DB2A37B7E}"/>
  </bookViews>
  <sheets>
    <sheet name="R&amp;R Generic Detailed Budget" sheetId="5" r:id="rId1"/>
    <sheet name="Person Month Conversion tool" sheetId="6" r:id="rId2"/>
    <sheet name="NIH Sal Cap Calculator" sheetId="7" r:id="rId3"/>
    <sheet name="F&amp;A History" sheetId="8" r:id="rId4"/>
    <sheet name="Eclass OPE Rates" sheetId="9" r:id="rId5"/>
  </sheets>
  <definedNames>
    <definedName name="_xlnm.Print_Area" localSheetId="0">'R&amp;R Generic Detailed Budget'!$A$3:$P$168</definedName>
    <definedName name="_xlnm.Print_Area">#REF!</definedName>
    <definedName name="_xlnm.Print_Titles" localSheetId="0">'R&amp;R Generic Detailed Budget'!$4:$8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 i="5" l="1"/>
  <c r="V6" i="5" l="1"/>
  <c r="G7" i="9"/>
  <c r="G17" i="9" s="1"/>
  <c r="G6" i="9"/>
  <c r="G8" i="9"/>
  <c r="G18" i="9" s="1"/>
  <c r="G9" i="9"/>
  <c r="H9" i="9" s="1"/>
  <c r="H19" i="9" s="1"/>
  <c r="G10" i="9"/>
  <c r="H10" i="9" s="1"/>
  <c r="H20" i="9" s="1"/>
  <c r="G20" i="9"/>
  <c r="G11" i="9"/>
  <c r="H11" i="9" s="1"/>
  <c r="H21" i="9"/>
  <c r="G12" i="9"/>
  <c r="G13" i="9"/>
  <c r="H6" i="9"/>
  <c r="H16" i="9" s="1"/>
  <c r="U14" i="5"/>
  <c r="M17" i="5" s="1"/>
  <c r="M12" i="5"/>
  <c r="K12" i="5"/>
  <c r="N25" i="5"/>
  <c r="A3" i="9"/>
  <c r="U15" i="5"/>
  <c r="O99" i="5"/>
  <c r="C16" i="9"/>
  <c r="D16" i="9"/>
  <c r="E16" i="9"/>
  <c r="F16" i="9"/>
  <c r="C17" i="9"/>
  <c r="D17" i="9"/>
  <c r="E17" i="9"/>
  <c r="F17" i="9"/>
  <c r="C18" i="9"/>
  <c r="D18" i="9"/>
  <c r="E18" i="9"/>
  <c r="F18" i="9"/>
  <c r="C19" i="9"/>
  <c r="D19" i="9"/>
  <c r="E19" i="9"/>
  <c r="F19" i="9"/>
  <c r="C20" i="9"/>
  <c r="D20" i="9"/>
  <c r="E20" i="9"/>
  <c r="F20" i="9"/>
  <c r="C21" i="9"/>
  <c r="D21" i="9"/>
  <c r="E21" i="9"/>
  <c r="F21" i="9"/>
  <c r="C22" i="9"/>
  <c r="D22" i="9"/>
  <c r="E22" i="9"/>
  <c r="F22" i="9"/>
  <c r="C23" i="9"/>
  <c r="D23" i="9"/>
  <c r="E23" i="9"/>
  <c r="F23" i="9"/>
  <c r="K152" i="5"/>
  <c r="K122" i="5"/>
  <c r="K118" i="5"/>
  <c r="K113" i="5"/>
  <c r="U13" i="5"/>
  <c r="M44" i="5"/>
  <c r="K14" i="5"/>
  <c r="C10" i="7"/>
  <c r="L6" i="5"/>
  <c r="C24" i="9" s="1"/>
  <c r="C25" i="9" s="1"/>
  <c r="B24" i="9"/>
  <c r="B25" i="9"/>
  <c r="B10" i="6"/>
  <c r="J9" i="6"/>
  <c r="J10" i="6" s="1"/>
  <c r="K161" i="5"/>
  <c r="K13" i="5"/>
  <c r="D3" i="7"/>
  <c r="F3" i="7"/>
  <c r="C180" i="5"/>
  <c r="C179" i="5"/>
  <c r="C178" i="5"/>
  <c r="C177" i="5"/>
  <c r="C176" i="5"/>
  <c r="C175" i="5"/>
  <c r="C52" i="5"/>
  <c r="C25" i="5"/>
  <c r="C66" i="5"/>
  <c r="L66" i="5" s="1"/>
  <c r="C54" i="5"/>
  <c r="N54" i="5" s="1"/>
  <c r="L54" i="5"/>
  <c r="O54" i="5"/>
  <c r="B67" i="5"/>
  <c r="J67" i="5"/>
  <c r="B68" i="5"/>
  <c r="J68" i="5" s="1"/>
  <c r="B69" i="5"/>
  <c r="J69" i="5" s="1"/>
  <c r="B70" i="5"/>
  <c r="J70" i="5"/>
  <c r="B71" i="5"/>
  <c r="J71" i="5"/>
  <c r="B66" i="5"/>
  <c r="J66" i="5" s="1"/>
  <c r="C26" i="5"/>
  <c r="C67" i="5"/>
  <c r="C27" i="5"/>
  <c r="C68" i="5"/>
  <c r="L68" i="5"/>
  <c r="C28" i="5"/>
  <c r="C69" i="5"/>
  <c r="O69" i="5" s="1"/>
  <c r="C29" i="5"/>
  <c r="C70" i="5"/>
  <c r="C30" i="5"/>
  <c r="C71" i="5"/>
  <c r="O71" i="5" s="1"/>
  <c r="C53" i="5"/>
  <c r="K53" i="5" s="1"/>
  <c r="L53" i="5"/>
  <c r="C55" i="5"/>
  <c r="O55" i="5" s="1"/>
  <c r="N55" i="5"/>
  <c r="C56" i="5"/>
  <c r="C57" i="5"/>
  <c r="M57" i="5"/>
  <c r="C58" i="5"/>
  <c r="L58" i="5"/>
  <c r="C59" i="5"/>
  <c r="K59" i="5"/>
  <c r="O59" i="5"/>
  <c r="C60" i="5"/>
  <c r="L60" i="5" s="1"/>
  <c r="M60" i="5"/>
  <c r="C61" i="5"/>
  <c r="K61" i="5" s="1"/>
  <c r="C62" i="5"/>
  <c r="K62" i="5"/>
  <c r="P125" i="5"/>
  <c r="P126" i="5"/>
  <c r="K26" i="5"/>
  <c r="K27" i="5"/>
  <c r="K28" i="5"/>
  <c r="K29" i="5"/>
  <c r="K30" i="5"/>
  <c r="K15" i="5"/>
  <c r="K16" i="5"/>
  <c r="K17" i="5"/>
  <c r="K18" i="5"/>
  <c r="K19" i="5"/>
  <c r="K20" i="5"/>
  <c r="K21" i="5"/>
  <c r="K22" i="5"/>
  <c r="K37" i="5"/>
  <c r="K38" i="5"/>
  <c r="K44" i="5"/>
  <c r="K45" i="5"/>
  <c r="L134" i="5"/>
  <c r="L137" i="5"/>
  <c r="O135" i="5"/>
  <c r="O134" i="5"/>
  <c r="O137" i="5" s="1"/>
  <c r="N135" i="5"/>
  <c r="N134" i="5"/>
  <c r="M135" i="5"/>
  <c r="M134" i="5"/>
  <c r="P134" i="5" s="1"/>
  <c r="Q135" i="5" s="1"/>
  <c r="M137" i="5"/>
  <c r="L135" i="5"/>
  <c r="K85" i="5"/>
  <c r="V12" i="5"/>
  <c r="W12" i="5" s="1"/>
  <c r="X12" i="5" s="1"/>
  <c r="Y12" i="5" s="1"/>
  <c r="Z12" i="5" s="1"/>
  <c r="B2" i="5"/>
  <c r="U4" i="5"/>
  <c r="U10" i="5" s="1"/>
  <c r="U9" i="5"/>
  <c r="V9" i="5" s="1"/>
  <c r="W9" i="5" s="1"/>
  <c r="X9" i="5" s="1"/>
  <c r="Y9" i="5" s="1"/>
  <c r="Z9" i="5" s="1"/>
  <c r="B4" i="5"/>
  <c r="K109" i="5"/>
  <c r="K92" i="5"/>
  <c r="K134" i="5"/>
  <c r="K135" i="5"/>
  <c r="K137" i="5"/>
  <c r="K100" i="5"/>
  <c r="C5" i="7"/>
  <c r="C11" i="7"/>
  <c r="P128" i="5"/>
  <c r="P129" i="5"/>
  <c r="Y4" i="5"/>
  <c r="X4" i="5"/>
  <c r="W4" i="5"/>
  <c r="V4" i="5"/>
  <c r="L20" i="6"/>
  <c r="L21" i="6"/>
  <c r="K20" i="6"/>
  <c r="K21" i="6"/>
  <c r="J20" i="6"/>
  <c r="J21" i="6" s="1"/>
  <c r="H21" i="6"/>
  <c r="E21" i="6"/>
  <c r="B21" i="6"/>
  <c r="G10" i="6"/>
  <c r="H10" i="6"/>
  <c r="L9" i="6" s="1"/>
  <c r="L10" i="6" s="1"/>
  <c r="D10" i="6"/>
  <c r="E10" i="6" s="1"/>
  <c r="K9" i="6" s="1"/>
  <c r="K10" i="6" s="1"/>
  <c r="P132" i="5"/>
  <c r="P131" i="5"/>
  <c r="Q132" i="5" s="1"/>
  <c r="B62" i="5"/>
  <c r="J62" i="5" s="1"/>
  <c r="B61" i="5"/>
  <c r="J61" i="5"/>
  <c r="B60" i="5"/>
  <c r="J60" i="5" s="1"/>
  <c r="B59" i="5"/>
  <c r="J59" i="5" s="1"/>
  <c r="B58" i="5"/>
  <c r="J58" i="5"/>
  <c r="B57" i="5"/>
  <c r="J57" i="5"/>
  <c r="B56" i="5"/>
  <c r="J56" i="5" s="1"/>
  <c r="B55" i="5"/>
  <c r="J55" i="5" s="1"/>
  <c r="B54" i="5"/>
  <c r="J54" i="5"/>
  <c r="B53" i="5"/>
  <c r="J53" i="5" s="1"/>
  <c r="B52" i="5"/>
  <c r="J52" i="5" s="1"/>
  <c r="L5" i="5"/>
  <c r="Z4" i="5" s="1"/>
  <c r="L161" i="5"/>
  <c r="M161" i="5"/>
  <c r="N161" i="5"/>
  <c r="O161" i="5"/>
  <c r="O107" i="5"/>
  <c r="O44" i="5"/>
  <c r="O151" i="5"/>
  <c r="O152" i="5" s="1"/>
  <c r="O106" i="5"/>
  <c r="P106" i="5" s="1"/>
  <c r="M90" i="5"/>
  <c r="L145" i="5"/>
  <c r="N96" i="5"/>
  <c r="L151" i="5"/>
  <c r="N121" i="5"/>
  <c r="N122" i="5"/>
  <c r="O121" i="5"/>
  <c r="O122" i="5"/>
  <c r="N116" i="5"/>
  <c r="N118" i="5"/>
  <c r="L97" i="5"/>
  <c r="P97" i="5" s="1"/>
  <c r="L26" i="5"/>
  <c r="L88" i="5"/>
  <c r="N107" i="5"/>
  <c r="O108" i="5"/>
  <c r="K60" i="5"/>
  <c r="N91" i="5"/>
  <c r="O88" i="5"/>
  <c r="O92" i="5" s="1"/>
  <c r="L90" i="5"/>
  <c r="M151" i="5"/>
  <c r="L91" i="5"/>
  <c r="P91" i="5" s="1"/>
  <c r="L98" i="5"/>
  <c r="O105" i="5"/>
  <c r="L150" i="5"/>
  <c r="L152" i="5" s="1"/>
  <c r="N108" i="5"/>
  <c r="L117" i="5"/>
  <c r="M97" i="5"/>
  <c r="M88" i="5"/>
  <c r="M92" i="5" s="1"/>
  <c r="N105" i="5"/>
  <c r="N145" i="5"/>
  <c r="N117" i="5"/>
  <c r="P117" i="5" s="1"/>
  <c r="O117" i="5"/>
  <c r="O118" i="5" s="1"/>
  <c r="L99" i="5"/>
  <c r="P99" i="5" s="1"/>
  <c r="C173" i="5"/>
  <c r="O98" i="5"/>
  <c r="M89" i="5"/>
  <c r="L89" i="5"/>
  <c r="L106" i="5"/>
  <c r="M105" i="5"/>
  <c r="N89" i="5"/>
  <c r="M112" i="5"/>
  <c r="M113" i="5"/>
  <c r="L28" i="5"/>
  <c r="N112" i="5"/>
  <c r="N113" i="5" s="1"/>
  <c r="N13" i="5"/>
  <c r="O112" i="5"/>
  <c r="O113" i="5" s="1"/>
  <c r="N12" i="5"/>
  <c r="M15" i="5"/>
  <c r="L59" i="5"/>
  <c r="N15" i="5"/>
  <c r="O15" i="5"/>
  <c r="O19" i="5"/>
  <c r="M13" i="5"/>
  <c r="N14" i="5"/>
  <c r="P14" i="5" s="1"/>
  <c r="O16" i="5"/>
  <c r="L30" i="5"/>
  <c r="N29" i="5"/>
  <c r="L19" i="5"/>
  <c r="O20" i="5"/>
  <c r="N22" i="5"/>
  <c r="L18" i="5"/>
  <c r="N17" i="5"/>
  <c r="L27" i="5"/>
  <c r="M28" i="5"/>
  <c r="L21" i="5"/>
  <c r="N18" i="5"/>
  <c r="M16" i="5"/>
  <c r="L14" i="5"/>
  <c r="N16" i="5"/>
  <c r="N28" i="5"/>
  <c r="M14" i="5"/>
  <c r="O21" i="5"/>
  <c r="N27" i="5"/>
  <c r="O26" i="5"/>
  <c r="L33" i="5"/>
  <c r="M29" i="5"/>
  <c r="O14" i="5"/>
  <c r="M25" i="5"/>
  <c r="K25" i="5"/>
  <c r="L25" i="5"/>
  <c r="N167" i="5"/>
  <c r="O167" i="5"/>
  <c r="M167" i="5"/>
  <c r="L167" i="5"/>
  <c r="K167" i="5"/>
  <c r="L20" i="5"/>
  <c r="M83" i="5"/>
  <c r="O84" i="5"/>
  <c r="O83" i="5"/>
  <c r="O85" i="5" s="1"/>
  <c r="K54" i="5"/>
  <c r="O58" i="5"/>
  <c r="K58" i="5"/>
  <c r="M37" i="5"/>
  <c r="M58" i="5"/>
  <c r="N58" i="5"/>
  <c r="L55" i="5"/>
  <c r="K55" i="5"/>
  <c r="O61" i="5"/>
  <c r="M108" i="5"/>
  <c r="L84" i="5"/>
  <c r="M69" i="5"/>
  <c r="L69" i="5"/>
  <c r="N69" i="5"/>
  <c r="N84" i="5"/>
  <c r="P84" i="5" s="1"/>
  <c r="M106" i="5"/>
  <c r="N97" i="5"/>
  <c r="L96" i="5"/>
  <c r="M150" i="5"/>
  <c r="M145" i="5"/>
  <c r="O150" i="5"/>
  <c r="M116" i="5"/>
  <c r="M118" i="5"/>
  <c r="M121" i="5"/>
  <c r="M122" i="5"/>
  <c r="O96" i="5"/>
  <c r="O100" i="5" s="1"/>
  <c r="N59" i="5"/>
  <c r="L83" i="5"/>
  <c r="O13" i="5"/>
  <c r="L29" i="5"/>
  <c r="M26" i="5"/>
  <c r="M20" i="5"/>
  <c r="O29" i="5"/>
  <c r="O90" i="5"/>
  <c r="L108" i="5"/>
  <c r="P108" i="5"/>
  <c r="N88" i="5"/>
  <c r="L105" i="5"/>
  <c r="L107" i="5"/>
  <c r="P107" i="5" s="1"/>
  <c r="N151" i="5"/>
  <c r="N106" i="5"/>
  <c r="L116" i="5"/>
  <c r="L121" i="5"/>
  <c r="L122" i="5" s="1"/>
  <c r="N98" i="5"/>
  <c r="M99" i="5"/>
  <c r="M84" i="5"/>
  <c r="M85" i="5"/>
  <c r="M59" i="5"/>
  <c r="L112" i="5"/>
  <c r="P112" i="5" s="1"/>
  <c r="M96" i="5"/>
  <c r="N99" i="5"/>
  <c r="M117" i="5"/>
  <c r="O89" i="5"/>
  <c r="M107" i="5"/>
  <c r="M109" i="5" s="1"/>
  <c r="N37" i="5"/>
  <c r="N150" i="5"/>
  <c r="N152" i="5" s="1"/>
  <c r="O45" i="5"/>
  <c r="N83" i="5"/>
  <c r="N85" i="5" s="1"/>
  <c r="M98" i="5"/>
  <c r="M100" i="5" s="1"/>
  <c r="M91" i="5"/>
  <c r="O97" i="5"/>
  <c r="O145" i="5"/>
  <c r="P145" i="5"/>
  <c r="O91" i="5"/>
  <c r="N90" i="5"/>
  <c r="N92" i="5" s="1"/>
  <c r="P90" i="5"/>
  <c r="O116" i="5"/>
  <c r="N109" i="5"/>
  <c r="P88" i="5"/>
  <c r="L70" i="5"/>
  <c r="M70" i="5"/>
  <c r="O70" i="5"/>
  <c r="K70" i="5"/>
  <c r="N70" i="5"/>
  <c r="L71" i="5"/>
  <c r="M66" i="5"/>
  <c r="P135" i="5"/>
  <c r="N53" i="5"/>
  <c r="M53" i="5"/>
  <c r="L113" i="5"/>
  <c r="L109" i="5"/>
  <c r="P105" i="5"/>
  <c r="P150" i="5"/>
  <c r="P122" i="5"/>
  <c r="P121" i="5"/>
  <c r="G19" i="9"/>
  <c r="L15" i="5"/>
  <c r="P15" i="5" s="1"/>
  <c r="L12" i="5"/>
  <c r="U7" i="5"/>
  <c r="V7" i="5" s="1"/>
  <c r="W7" i="5" s="1"/>
  <c r="X7" i="5" s="1"/>
  <c r="Y7" i="5" s="1"/>
  <c r="Z7" i="5" s="1"/>
  <c r="W6" i="5"/>
  <c r="X6" i="5" s="1"/>
  <c r="Y6" i="5" s="1"/>
  <c r="Z6" i="5" s="1"/>
  <c r="G21" i="9" l="1"/>
  <c r="I21" i="9" s="1"/>
  <c r="I20" i="9"/>
  <c r="I19" i="9"/>
  <c r="H8" i="9"/>
  <c r="H18" i="9" s="1"/>
  <c r="I18" i="9" s="1"/>
  <c r="H7" i="9"/>
  <c r="H17" i="9" s="1"/>
  <c r="I17" i="9" s="1"/>
  <c r="G16" i="9"/>
  <c r="I16" i="9" s="1"/>
  <c r="P59" i="5"/>
  <c r="P58" i="5"/>
  <c r="P167" i="5"/>
  <c r="K68" i="5"/>
  <c r="O68" i="5"/>
  <c r="M68" i="5"/>
  <c r="P29" i="5"/>
  <c r="N137" i="5"/>
  <c r="P137" i="5" s="1"/>
  <c r="P18" i="5"/>
  <c r="Q129" i="5"/>
  <c r="P89" i="5"/>
  <c r="L92" i="5"/>
  <c r="P92" i="5" s="1"/>
  <c r="P83" i="5"/>
  <c r="N100" i="5"/>
  <c r="K141" i="5"/>
  <c r="K140" i="5"/>
  <c r="C12" i="7"/>
  <c r="N57" i="5"/>
  <c r="O57" i="5"/>
  <c r="L57" i="5"/>
  <c r="P70" i="5"/>
  <c r="K56" i="5"/>
  <c r="O56" i="5"/>
  <c r="M56" i="5"/>
  <c r="N56" i="5"/>
  <c r="L56" i="5"/>
  <c r="G23" i="9"/>
  <c r="H13" i="9"/>
  <c r="H23" i="9" s="1"/>
  <c r="Q126" i="5"/>
  <c r="G22" i="9"/>
  <c r="H12" i="9"/>
  <c r="H22" i="9" s="1"/>
  <c r="M62" i="5"/>
  <c r="N62" i="5"/>
  <c r="L62" i="5"/>
  <c r="O62" i="5"/>
  <c r="P96" i="5"/>
  <c r="N68" i="5"/>
  <c r="N45" i="5"/>
  <c r="M45" i="5"/>
  <c r="O37" i="5"/>
  <c r="N44" i="5"/>
  <c r="L45" i="5"/>
  <c r="C172" i="5"/>
  <c r="O38" i="5"/>
  <c r="L44" i="5"/>
  <c r="P44" i="5" s="1"/>
  <c r="L38" i="5"/>
  <c r="M38" i="5"/>
  <c r="N38" i="5"/>
  <c r="L37" i="5"/>
  <c r="P37" i="5" s="1"/>
  <c r="V10" i="5"/>
  <c r="L100" i="5"/>
  <c r="P100" i="5" s="1"/>
  <c r="O109" i="5"/>
  <c r="P109" i="5" s="1"/>
  <c r="M67" i="5"/>
  <c r="O67" i="5"/>
  <c r="K67" i="5"/>
  <c r="N67" i="5"/>
  <c r="L67" i="5"/>
  <c r="P116" i="5"/>
  <c r="L118" i="5"/>
  <c r="P118" i="5" s="1"/>
  <c r="M33" i="5"/>
  <c r="M152" i="5"/>
  <c r="P151" i="5"/>
  <c r="K57" i="5"/>
  <c r="P113" i="5"/>
  <c r="L16" i="5"/>
  <c r="P16" i="5" s="1"/>
  <c r="K69" i="5"/>
  <c r="P69" i="5" s="1"/>
  <c r="M55" i="5"/>
  <c r="P55" i="5" s="1"/>
  <c r="L32" i="5"/>
  <c r="M22" i="5"/>
  <c r="O18" i="5"/>
  <c r="O17" i="5"/>
  <c r="O60" i="5"/>
  <c r="O66" i="5"/>
  <c r="O53" i="5"/>
  <c r="P53" i="5" s="1"/>
  <c r="M61" i="5"/>
  <c r="K48" i="5"/>
  <c r="K66" i="5"/>
  <c r="M6" i="5"/>
  <c r="K71" i="5"/>
  <c r="L85" i="5"/>
  <c r="P85" i="5" s="1"/>
  <c r="N19" i="5"/>
  <c r="M54" i="5"/>
  <c r="P54" i="5" s="1"/>
  <c r="O27" i="5"/>
  <c r="N66" i="5"/>
  <c r="L17" i="5"/>
  <c r="P17" i="5" s="1"/>
  <c r="O30" i="5"/>
  <c r="M19" i="5"/>
  <c r="O22" i="5"/>
  <c r="M30" i="5"/>
  <c r="P30" i="5" s="1"/>
  <c r="M18" i="5"/>
  <c r="N60" i="5"/>
  <c r="U11" i="5"/>
  <c r="V11" i="5" s="1"/>
  <c r="W11" i="5" s="1"/>
  <c r="X11" i="5" s="1"/>
  <c r="Y11" i="5" s="1"/>
  <c r="Z11" i="5" s="1"/>
  <c r="M5" i="5"/>
  <c r="P98" i="5"/>
  <c r="M71" i="5"/>
  <c r="N61" i="5"/>
  <c r="M27" i="5"/>
  <c r="P27" i="5" s="1"/>
  <c r="N30" i="5"/>
  <c r="N20" i="5"/>
  <c r="P20" i="5" s="1"/>
  <c r="L22" i="5"/>
  <c r="P22" i="5" s="1"/>
  <c r="U8" i="5"/>
  <c r="N71" i="5"/>
  <c r="O28" i="5"/>
  <c r="P28" i="5" s="1"/>
  <c r="C171" i="5"/>
  <c r="N21" i="5"/>
  <c r="O25" i="5"/>
  <c r="P25" i="5" s="1"/>
  <c r="M21" i="5"/>
  <c r="P21" i="5" s="1"/>
  <c r="N26" i="5"/>
  <c r="P26" i="5" s="1"/>
  <c r="L61" i="5"/>
  <c r="O12" i="5"/>
  <c r="L13" i="5"/>
  <c r="P13" i="5" s="1"/>
  <c r="I23" i="9" l="1"/>
  <c r="I22" i="9"/>
  <c r="P62" i="5"/>
  <c r="P60" i="5"/>
  <c r="M48" i="5"/>
  <c r="V8" i="5"/>
  <c r="W8" i="5" s="1"/>
  <c r="X8" i="5" s="1"/>
  <c r="Y8" i="5" s="1"/>
  <c r="Z8" i="5" s="1"/>
  <c r="P19" i="5"/>
  <c r="P38" i="5"/>
  <c r="P68" i="5"/>
  <c r="P61" i="5"/>
  <c r="P71" i="5"/>
  <c r="P67" i="5"/>
  <c r="P45" i="5"/>
  <c r="M32" i="5"/>
  <c r="D17" i="7"/>
  <c r="D20" i="7" s="1"/>
  <c r="H17" i="7"/>
  <c r="H20" i="7" s="1"/>
  <c r="C13" i="7"/>
  <c r="G17" i="7"/>
  <c r="G20" i="7" s="1"/>
  <c r="F17" i="7"/>
  <c r="F20" i="7" s="1"/>
  <c r="E17" i="7"/>
  <c r="E20" i="7" s="1"/>
  <c r="L48" i="5"/>
  <c r="K142" i="5"/>
  <c r="N33" i="5"/>
  <c r="N5" i="5"/>
  <c r="N6" i="5"/>
  <c r="D24" i="9"/>
  <c r="P12" i="5"/>
  <c r="P66" i="5"/>
  <c r="L140" i="5"/>
  <c r="L141" i="5"/>
  <c r="W10" i="5"/>
  <c r="P56" i="5"/>
  <c r="P57" i="5"/>
  <c r="P152" i="5"/>
  <c r="D33" i="9" l="1"/>
  <c r="C33" i="9"/>
  <c r="B33" i="9"/>
  <c r="N32" i="5"/>
  <c r="O33" i="5"/>
  <c r="P33" i="5"/>
  <c r="X10" i="5"/>
  <c r="M141" i="5"/>
  <c r="M140" i="5"/>
  <c r="K154" i="5"/>
  <c r="K147" i="5"/>
  <c r="L142" i="5"/>
  <c r="D25" i="9"/>
  <c r="C27" i="9"/>
  <c r="B29" i="9"/>
  <c r="C32" i="9"/>
  <c r="B26" i="9"/>
  <c r="K52" i="5" s="1"/>
  <c r="B31" i="9"/>
  <c r="B27" i="9"/>
  <c r="C31" i="9"/>
  <c r="B30" i="9"/>
  <c r="C30" i="9"/>
  <c r="B28" i="9"/>
  <c r="B32" i="9"/>
  <c r="C28" i="9"/>
  <c r="C26" i="9"/>
  <c r="L52" i="5" s="1"/>
  <c r="C29" i="9"/>
  <c r="F18" i="7"/>
  <c r="F22" i="7" s="1"/>
  <c r="G18" i="7"/>
  <c r="G22" i="7" s="1"/>
  <c r="E18" i="7"/>
  <c r="E22" i="7" s="1"/>
  <c r="H18" i="7"/>
  <c r="H22" i="7" s="1"/>
  <c r="D18" i="7"/>
  <c r="D22" i="7" s="1"/>
  <c r="E24" i="9"/>
  <c r="O6" i="5"/>
  <c r="F24" i="9" s="1"/>
  <c r="F25" i="9" s="1"/>
  <c r="O5" i="5"/>
  <c r="F33" i="9" l="1"/>
  <c r="O76" i="5" s="1"/>
  <c r="D31" i="9"/>
  <c r="F32" i="9"/>
  <c r="E29" i="9"/>
  <c r="F31" i="9"/>
  <c r="D28" i="9"/>
  <c r="D26" i="9"/>
  <c r="M52" i="5" s="1"/>
  <c r="D27" i="9"/>
  <c r="E33" i="9"/>
  <c r="F27" i="9"/>
  <c r="E25" i="9"/>
  <c r="E27" i="9" s="1"/>
  <c r="F28" i="9"/>
  <c r="F30" i="9"/>
  <c r="F29" i="9"/>
  <c r="D32" i="9"/>
  <c r="E26" i="9"/>
  <c r="N52" i="5" s="1"/>
  <c r="F26" i="9"/>
  <c r="O52" i="5" s="1"/>
  <c r="D29" i="9"/>
  <c r="D30" i="9"/>
  <c r="M142" i="5"/>
  <c r="N140" i="5"/>
  <c r="N141" i="5"/>
  <c r="Y10" i="5"/>
  <c r="J74" i="5"/>
  <c r="J76" i="5"/>
  <c r="K73" i="5"/>
  <c r="K74" i="5"/>
  <c r="J73" i="5"/>
  <c r="K76" i="5"/>
  <c r="O32" i="5"/>
  <c r="N48" i="5"/>
  <c r="L76" i="5"/>
  <c r="L74" i="5"/>
  <c r="L73" i="5"/>
  <c r="L147" i="5"/>
  <c r="L154" i="5"/>
  <c r="O74" i="5" l="1"/>
  <c r="L77" i="5"/>
  <c r="L79" i="5" s="1"/>
  <c r="L157" i="5" s="1"/>
  <c r="L159" i="5" s="1"/>
  <c r="L165" i="5" s="1"/>
  <c r="N76" i="5"/>
  <c r="N74" i="5"/>
  <c r="P52" i="5"/>
  <c r="O73" i="5"/>
  <c r="O48" i="5"/>
  <c r="P48" i="5" s="1"/>
  <c r="P32" i="5"/>
  <c r="N73" i="5"/>
  <c r="M147" i="5"/>
  <c r="M154" i="5"/>
  <c r="E32" i="9"/>
  <c r="E30" i="9"/>
  <c r="K77" i="5"/>
  <c r="M76" i="5"/>
  <c r="M74" i="5"/>
  <c r="M73" i="5"/>
  <c r="N142" i="5"/>
  <c r="E28" i="9"/>
  <c r="E31" i="9"/>
  <c r="Z10" i="5"/>
  <c r="O140" i="5"/>
  <c r="O141" i="5"/>
  <c r="P141" i="5" s="1"/>
  <c r="O77" i="5" l="1"/>
  <c r="O79" i="5" s="1"/>
  <c r="P74" i="5"/>
  <c r="M77" i="5"/>
  <c r="M79" i="5" s="1"/>
  <c r="M157" i="5" s="1"/>
  <c r="M159" i="5" s="1"/>
  <c r="M165" i="5" s="1"/>
  <c r="N77" i="5"/>
  <c r="N79" i="5" s="1"/>
  <c r="P76" i="5"/>
  <c r="N147" i="5"/>
  <c r="N154" i="5"/>
  <c r="P73" i="5"/>
  <c r="K79" i="5"/>
  <c r="O142" i="5"/>
  <c r="P140" i="5"/>
  <c r="P142" i="5"/>
  <c r="P77" i="5" l="1"/>
  <c r="O147" i="5"/>
  <c r="P147" i="5" s="1"/>
  <c r="O154" i="5"/>
  <c r="O157" i="5" s="1"/>
  <c r="P79" i="5"/>
  <c r="K157" i="5"/>
  <c r="N157" i="5"/>
  <c r="N159" i="5" s="1"/>
  <c r="N165" i="5" s="1"/>
  <c r="P154" i="5" l="1"/>
  <c r="K159" i="5"/>
  <c r="P157" i="5"/>
  <c r="O159" i="5"/>
  <c r="O165" i="5" s="1"/>
  <c r="P159" i="5" l="1"/>
  <c r="K165" i="5"/>
  <c r="P165"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s>
  <commentList>
    <comment ref="A1" authorId="0" shapeId="0" xr:uid="{485DCF66-C3BF-4244-96E1-5B6EA6318DA6}">
      <text>
        <r>
          <rPr>
            <sz val="9"/>
            <color indexed="81"/>
            <rFont val="Tahoma"/>
            <family val="2"/>
          </rPr>
          <t xml:space="preserve">Enter a whole number, 1, 2, 3, 4, or 5, in cell A1, for the number of project years (even if one of the budget periods is more or less than a twelve month period).  </t>
        </r>
      </text>
    </comment>
    <comment ref="C3" authorId="0" shapeId="0" xr:uid="{9A784701-618E-467C-A1FC-7C9785326BB6}">
      <text>
        <r>
          <rPr>
            <sz val="9"/>
            <color indexed="81"/>
            <rFont val="Tahoma"/>
            <family val="2"/>
          </rPr>
          <t xml:space="preserve">Enter the EPCS record number here.
</t>
        </r>
      </text>
    </comment>
    <comment ref="K5" authorId="0" shapeId="0" xr:uid="{4923AE20-7632-4447-940C-EACF1AD19738}">
      <text>
        <r>
          <rPr>
            <b/>
            <sz val="9"/>
            <color indexed="81"/>
            <rFont val="Tahoma"/>
            <family val="2"/>
          </rPr>
          <t>Enter the Start Date of the project (The same Start Date should also be entered in the EPCS record).</t>
        </r>
        <r>
          <rPr>
            <sz val="9"/>
            <color indexed="81"/>
            <rFont val="Tahoma"/>
            <family val="2"/>
          </rPr>
          <t xml:space="preserve">
</t>
        </r>
      </text>
    </comment>
    <comment ref="C11" authorId="0" shapeId="0" xr:uid="{B41D7CB9-1E15-44CC-B24F-00DE37E6692C}">
      <text>
        <r>
          <rPr>
            <b/>
            <sz val="9"/>
            <color indexed="81"/>
            <rFont val="Tahoma"/>
            <family val="2"/>
          </rPr>
          <t>Select Eclass type from drop down list below.</t>
        </r>
        <r>
          <rPr>
            <sz val="9"/>
            <color indexed="81"/>
            <rFont val="Tahoma"/>
            <family val="2"/>
          </rPr>
          <t xml:space="preserve">
</t>
        </r>
      </text>
    </comment>
    <comment ref="D11" authorId="1" shapeId="0" xr:uid="{BD9D8336-C939-4155-BCB9-8343B609FBED}">
      <text>
        <r>
          <rPr>
            <sz val="8"/>
            <color indexed="81"/>
            <rFont val="Tahoma"/>
            <family val="2"/>
          </rPr>
          <t>Input base salary here for AY 9-mo. and 12-mo. Appointments. Enter % in next column to automatically calculate salary expense.</t>
        </r>
      </text>
    </comment>
    <comment ref="E11" authorId="1" shapeId="0" xr:uid="{3001577E-8B89-47AD-8CCB-D317054F1F43}">
      <text>
        <r>
          <rPr>
            <sz val="8"/>
            <color indexed="81"/>
            <rFont val="Tahoma"/>
            <family val="2"/>
          </rPr>
          <t>Salary expense will  automatically calculate with % entered (as a decimal) here.</t>
        </r>
      </text>
    </comment>
    <comment ref="F11" authorId="1" shapeId="0" xr:uid="{FC5B2F60-4257-4B7D-A80E-3DC4CC5952CB}">
      <text>
        <r>
          <rPr>
            <sz val="8"/>
            <color indexed="81"/>
            <rFont val="Tahoma"/>
            <family val="2"/>
          </rPr>
          <t>Salary expense will  automatically calculate with % entered (as a decimal) here.</t>
        </r>
      </text>
    </comment>
    <comment ref="G11" authorId="1" shapeId="0" xr:uid="{E8637049-814E-453E-8164-DA7173C32A60}">
      <text>
        <r>
          <rPr>
            <sz val="8"/>
            <color indexed="81"/>
            <rFont val="Tahoma"/>
            <family val="2"/>
          </rPr>
          <t>Salary expense will  automatically calculate with % entered (as a decimal) here.</t>
        </r>
      </text>
    </comment>
    <comment ref="H11" authorId="1" shapeId="0" xr:uid="{8D27A14E-46D7-4893-884F-F244262C818F}">
      <text>
        <r>
          <rPr>
            <sz val="8"/>
            <color indexed="81"/>
            <rFont val="Tahoma"/>
            <family val="2"/>
          </rPr>
          <t>Salary expense will  automatically calculate with % entered (as a decimal) here.</t>
        </r>
      </text>
    </comment>
    <comment ref="I11" authorId="1" shapeId="0" xr:uid="{A2E22BC8-C189-4546-ACD3-25A31E62A063}">
      <text>
        <r>
          <rPr>
            <sz val="8"/>
            <color indexed="81"/>
            <rFont val="Tahoma"/>
            <family val="2"/>
          </rPr>
          <t>Salary expense will  automatically calculate with % entered (as a decimal) here.</t>
        </r>
      </text>
    </comment>
    <comment ref="U11" authorId="0" shapeId="0" xr:uid="{3A3192A7-B058-4914-8E86-48A80A1035A9}">
      <text>
        <r>
          <rPr>
            <sz val="9"/>
            <color indexed="81"/>
            <rFont val="Tahoma"/>
            <family val="2"/>
          </rPr>
          <t xml:space="preserve">Enter for out-of-state graduate trainees on training grants or fellowships (formula in tuition area of budget must also be changed)
</t>
        </r>
      </text>
    </comment>
    <comment ref="AE11" authorId="0" shapeId="0" xr:uid="{A7D47DD6-EA06-4782-BE98-7546E6F0C726}">
      <text>
        <r>
          <rPr>
            <sz val="9"/>
            <color indexed="81"/>
            <rFont val="Tahoma"/>
            <family val="2"/>
          </rPr>
          <t xml:space="preserve">Enter for out-of-state graduate trainees on training grants or fellowships (formula in tuition area of budget must also be changed)
</t>
        </r>
      </text>
    </comment>
    <comment ref="U12" authorId="0" shapeId="0" xr:uid="{5897D153-9CDD-4FFD-93AF-F132CC703BAE}">
      <text>
        <r>
          <rPr>
            <sz val="9"/>
            <color indexed="81"/>
            <rFont val="Tahoma"/>
            <family val="2"/>
          </rPr>
          <t xml:space="preserve">Enter Tuition Rate for UO College if applicable to application (formula in tuition area of budget must also be changed)
</t>
        </r>
      </text>
    </comment>
    <comment ref="AE12" authorId="0" shapeId="0" xr:uid="{45D69D20-468A-43CB-A8C5-31BAE8D771EA}">
      <text>
        <r>
          <rPr>
            <sz val="9"/>
            <color indexed="81"/>
            <rFont val="Tahoma"/>
            <family val="2"/>
          </rPr>
          <t xml:space="preserve">Enter Tuition Rate for UO College if applicable to application (formula in tuition area of budget must also be changed)
</t>
        </r>
      </text>
    </comment>
    <comment ref="U13" authorId="0" shapeId="0" xr:uid="{392CB8DE-E1B1-4796-9434-92FD3426A317}">
      <text>
        <r>
          <rPr>
            <sz val="9"/>
            <color indexed="81"/>
            <rFont val="Tahoma"/>
            <family val="2"/>
          </rPr>
          <t>If no COLA for all budget years, change this number to 1.0</t>
        </r>
        <r>
          <rPr>
            <sz val="9"/>
            <color indexed="81"/>
            <rFont val="Tahoma"/>
            <family val="2"/>
          </rPr>
          <t xml:space="preserve">
</t>
        </r>
      </text>
    </comment>
    <comment ref="U14" authorId="0" shapeId="0" xr:uid="{489B42CA-94E0-4205-8F30-2D501E8BB9CA}">
      <text>
        <r>
          <rPr>
            <sz val="9"/>
            <color indexed="81"/>
            <rFont val="Tahoma"/>
            <family val="2"/>
          </rPr>
          <t>If no COLA for all budget years, this number is 1.0</t>
        </r>
      </text>
    </comment>
    <comment ref="U15" authorId="0" shapeId="0" xr:uid="{03DCBB7B-553C-46B9-9135-046492CFCC17}">
      <text>
        <r>
          <rPr>
            <sz val="9"/>
            <color indexed="81"/>
            <rFont val="Tahoma"/>
            <family val="2"/>
          </rPr>
          <t>If no COLA for all budget years, this number is 1.0</t>
        </r>
      </text>
    </comment>
    <comment ref="C24" authorId="0" shapeId="0" xr:uid="{68CE51CD-27A4-4792-AE0C-E132204320F0}">
      <text>
        <r>
          <rPr>
            <sz val="9"/>
            <color indexed="81"/>
            <rFont val="Tahoma"/>
            <family val="2"/>
          </rPr>
          <t xml:space="preserve">Enter only 9 for 9-mo. Appointment.
</t>
        </r>
      </text>
    </comment>
    <comment ref="D24" authorId="1" shapeId="0" xr:uid="{EFD5B537-7E44-4155-8FA6-E682904B21C9}">
      <text>
        <r>
          <rPr>
            <sz val="8"/>
            <color indexed="81"/>
            <rFont val="Tahoma"/>
            <family val="2"/>
          </rPr>
          <t>Use only for Faculty with 9-month appointments working on project in SU. Input SU base salary here (1/3 of AY salary). Enter % in next column to automatically calculate SU salary expense.</t>
        </r>
      </text>
    </comment>
    <comment ref="E24" authorId="1" shapeId="0" xr:uid="{8D1E041A-5279-4F09-9B3B-A55A9B761E43}">
      <text>
        <r>
          <rPr>
            <sz val="8"/>
            <color indexed="81"/>
            <rFont val="Tahoma"/>
            <family val="2"/>
          </rPr>
          <t>Salary expense will  automatically calculate with % entered (as a decimal) here.</t>
        </r>
      </text>
    </comment>
    <comment ref="F24" authorId="1" shapeId="0" xr:uid="{ABE31AAD-5C5D-4943-8D01-487C5E6353AC}">
      <text>
        <r>
          <rPr>
            <sz val="8"/>
            <color indexed="81"/>
            <rFont val="Tahoma"/>
            <family val="2"/>
          </rPr>
          <t>Salary expense will  automatically calculate with % entered (as a decimal) here.</t>
        </r>
      </text>
    </comment>
    <comment ref="G24" authorId="1" shapeId="0" xr:uid="{E5C1E2D6-0EDA-4EB8-8815-882703953D79}">
      <text>
        <r>
          <rPr>
            <sz val="8"/>
            <color indexed="81"/>
            <rFont val="Tahoma"/>
            <family val="2"/>
          </rPr>
          <t>Salary expense will  automatically calculate with % entered (as a decimal) here.</t>
        </r>
      </text>
    </comment>
    <comment ref="H24" authorId="1" shapeId="0" xr:uid="{FFBE6BEC-6CAB-4D3A-AE11-7BFFD2142403}">
      <text>
        <r>
          <rPr>
            <sz val="8"/>
            <color indexed="81"/>
            <rFont val="Tahoma"/>
            <family val="2"/>
          </rPr>
          <t>Salary expense will  automatically calculate with % entered (as a decimal) here.</t>
        </r>
      </text>
    </comment>
    <comment ref="I24" authorId="1" shapeId="0" xr:uid="{ABE64004-54DC-4D68-B9E9-81016A0E803C}">
      <text>
        <r>
          <rPr>
            <sz val="8"/>
            <color indexed="81"/>
            <rFont val="Tahoma"/>
            <family val="2"/>
          </rPr>
          <t>Salary expense will  automatically calculate with % entered (as a decimal) here.</t>
        </r>
      </text>
    </comment>
    <comment ref="D36" authorId="1" shapeId="0" xr:uid="{A6F637BD-1743-40CC-9FDD-FD95598EE937}">
      <text>
        <r>
          <rPr>
            <sz val="8"/>
            <color indexed="81"/>
            <rFont val="Tahoma"/>
            <family val="2"/>
          </rPr>
          <t>In the cell below, enter the GTF’s 9 or 12 month base salary at the 1.0 FTE rate.</t>
        </r>
      </text>
    </comment>
    <comment ref="E36" authorId="1" shapeId="0" xr:uid="{66D0CD80-A854-45D7-9B08-2DB0DC4404EF}">
      <text>
        <r>
          <rPr>
            <sz val="8"/>
            <color indexed="81"/>
            <rFont val="Tahoma"/>
            <family val="2"/>
          </rPr>
          <t xml:space="preserve">Salary expense will  automatically calculate with % entered below. </t>
        </r>
      </text>
    </comment>
    <comment ref="F36" authorId="1" shapeId="0" xr:uid="{BC0174F4-9351-4C6E-AF9A-BC3E5CF1F050}">
      <text>
        <r>
          <rPr>
            <sz val="8"/>
            <color indexed="81"/>
            <rFont val="Tahoma"/>
            <family val="2"/>
          </rPr>
          <t xml:space="preserve">Salary expense will  automatically calculate with % entered below. </t>
        </r>
      </text>
    </comment>
    <comment ref="G36" authorId="1" shapeId="0" xr:uid="{1C19C44C-8DAF-4154-8C73-1D9F07EED4E4}">
      <text>
        <r>
          <rPr>
            <sz val="8"/>
            <color indexed="81"/>
            <rFont val="Tahoma"/>
            <family val="2"/>
          </rPr>
          <t xml:space="preserve">Salary expense will  automatically calculate with % entered below. </t>
        </r>
      </text>
    </comment>
    <comment ref="H36" authorId="1" shapeId="0" xr:uid="{781B0167-5EFE-414A-BA1F-6370838F3A17}">
      <text>
        <r>
          <rPr>
            <sz val="8"/>
            <color indexed="81"/>
            <rFont val="Tahoma"/>
            <family val="2"/>
          </rPr>
          <t xml:space="preserve">Salary expense will  automatically calculate with % entered below. </t>
        </r>
      </text>
    </comment>
    <comment ref="I36" authorId="1" shapeId="0" xr:uid="{CE5AA62C-D9CB-4E47-B09D-5E259B06657A}">
      <text>
        <r>
          <rPr>
            <sz val="8"/>
            <color indexed="81"/>
            <rFont val="Tahoma"/>
            <family val="2"/>
          </rPr>
          <t xml:space="preserve">Salary expense will  automatically calculate with % entered below. </t>
        </r>
      </text>
    </comment>
    <comment ref="D37" authorId="1" shapeId="0" xr:uid="{4520F2C1-C3B2-4CD9-BD1A-4A87B711630F}">
      <text>
        <r>
          <rPr>
            <sz val="8"/>
            <color indexed="81"/>
            <rFont val="Tahoma"/>
            <family val="2"/>
          </rPr>
          <t xml:space="preserve">Input ANNUAL salary for 1 GTF at 1 FTE. </t>
        </r>
      </text>
    </comment>
    <comment ref="E37" authorId="1" shapeId="0" xr:uid="{67CC1A50-0EAE-490B-9E9B-5383ECDEFF7B}">
      <text>
        <r>
          <rPr>
            <sz val="8"/>
            <color indexed="81"/>
            <rFont val="Tahoma"/>
            <family val="2"/>
          </rPr>
          <t>No more than .49</t>
        </r>
      </text>
    </comment>
    <comment ref="F37" authorId="1" shapeId="0" xr:uid="{01FEA3CB-F360-47A6-9C86-706B2E24FD4D}">
      <text>
        <r>
          <rPr>
            <sz val="8"/>
            <color indexed="81"/>
            <rFont val="Tahoma"/>
            <family val="2"/>
          </rPr>
          <t>No more than .49</t>
        </r>
      </text>
    </comment>
    <comment ref="G37" authorId="1" shapeId="0" xr:uid="{7FB1C6D5-4F2D-498A-B326-CA8E1DD61467}">
      <text>
        <r>
          <rPr>
            <sz val="8"/>
            <color indexed="81"/>
            <rFont val="Tahoma"/>
            <family val="2"/>
          </rPr>
          <t>No more than .49</t>
        </r>
      </text>
    </comment>
    <comment ref="H37" authorId="1" shapeId="0" xr:uid="{04D48934-4AC0-4A50-A4FF-EEAE28EA155D}">
      <text>
        <r>
          <rPr>
            <sz val="8"/>
            <color indexed="81"/>
            <rFont val="Tahoma"/>
            <family val="2"/>
          </rPr>
          <t>No more than .49</t>
        </r>
      </text>
    </comment>
    <comment ref="I37" authorId="1" shapeId="0" xr:uid="{66CD1003-6F65-40B0-BE6E-D9A9495B017F}">
      <text>
        <r>
          <rPr>
            <sz val="8"/>
            <color indexed="81"/>
            <rFont val="Tahoma"/>
            <family val="2"/>
          </rPr>
          <t>No more than .49</t>
        </r>
      </text>
    </comment>
    <comment ref="E38" authorId="1" shapeId="0" xr:uid="{8C100618-47C5-4F85-A1A7-9F6986E41C3D}">
      <text>
        <r>
          <rPr>
            <sz val="8"/>
            <color indexed="81"/>
            <rFont val="Tahoma"/>
            <family val="2"/>
          </rPr>
          <t>Only input FTE if summer effort is part of budget.  Otherwise, leave blank.</t>
        </r>
      </text>
    </comment>
    <comment ref="F38" authorId="1" shapeId="0" xr:uid="{37873F3D-2980-40D8-A80C-A6360092133C}">
      <text>
        <r>
          <rPr>
            <sz val="8"/>
            <color indexed="81"/>
            <rFont val="Tahoma"/>
            <family val="2"/>
          </rPr>
          <t>Only input FTE if summer effort is part of budget.  Otherwise, leave blank.</t>
        </r>
      </text>
    </comment>
    <comment ref="G38" authorId="1" shapeId="0" xr:uid="{77690300-B991-4828-AF62-B6DB220DBA02}">
      <text>
        <r>
          <rPr>
            <sz val="8"/>
            <color indexed="81"/>
            <rFont val="Tahoma"/>
            <family val="2"/>
          </rPr>
          <t>Only input FTE if summer effort is part of budget.  Otherwise, leave blank.</t>
        </r>
      </text>
    </comment>
    <comment ref="H38" authorId="1" shapeId="0" xr:uid="{E435839D-2446-4C3B-84D1-0A6AFF86A4D7}">
      <text>
        <r>
          <rPr>
            <sz val="8"/>
            <color indexed="81"/>
            <rFont val="Tahoma"/>
            <family val="2"/>
          </rPr>
          <t>Only input FTE if summer effort is part of budget.  Otherwise, leave blank.</t>
        </r>
      </text>
    </comment>
    <comment ref="I38" authorId="1" shapeId="0" xr:uid="{52C307B5-953D-45B2-9BA4-869B5A7E72B7}">
      <text>
        <r>
          <rPr>
            <sz val="8"/>
            <color indexed="81"/>
            <rFont val="Tahoma"/>
            <family val="2"/>
          </rPr>
          <t>Only input FTE if summer effort is part of budget.  Otherwise, leave blank.</t>
        </r>
      </text>
    </comment>
    <comment ref="E39" authorId="0" shapeId="0" xr:uid="{8EBF7D46-115D-40E9-B7E9-32D253A31A80}">
      <text>
        <r>
          <rPr>
            <sz val="9"/>
            <color indexed="81"/>
            <rFont val="Tahoma"/>
            <family val="2"/>
          </rPr>
          <t xml:space="preserve">Insert the number of AY terms.
</t>
        </r>
      </text>
    </comment>
    <comment ref="F39" authorId="0" shapeId="0" xr:uid="{9E4DC577-9A1E-4991-8EA0-2F7085ABDB56}">
      <text>
        <r>
          <rPr>
            <sz val="9"/>
            <color indexed="81"/>
            <rFont val="Tahoma"/>
            <family val="2"/>
          </rPr>
          <t xml:space="preserve">Insert the number of AY terms.
</t>
        </r>
      </text>
    </comment>
    <comment ref="G39" authorId="0" shapeId="0" xr:uid="{3D900AF7-74F7-4CF1-ADAF-22DFE908260C}">
      <text>
        <r>
          <rPr>
            <sz val="9"/>
            <color indexed="81"/>
            <rFont val="Tahoma"/>
            <family val="2"/>
          </rPr>
          <t xml:space="preserve">Insert the number of AY terms.
</t>
        </r>
      </text>
    </comment>
    <comment ref="H39" authorId="0" shapeId="0" xr:uid="{8AB10A8D-F56B-4761-A522-804E3725FA97}">
      <text>
        <r>
          <rPr>
            <sz val="9"/>
            <color indexed="81"/>
            <rFont val="Tahoma"/>
            <family val="2"/>
          </rPr>
          <t xml:space="preserve">Insert the number of AY terms.
</t>
        </r>
      </text>
    </comment>
    <comment ref="I39" authorId="0" shapeId="0" xr:uid="{C163C14E-EA5D-43BD-BB61-09ABDDE79A91}">
      <text>
        <r>
          <rPr>
            <sz val="9"/>
            <color indexed="81"/>
            <rFont val="Tahoma"/>
            <family val="2"/>
          </rPr>
          <t xml:space="preserve">Insert the number of AY terms.
</t>
        </r>
      </text>
    </comment>
    <comment ref="E40" authorId="0" shapeId="0" xr:uid="{5D030F9B-94A7-4D55-A738-201E4226601A}">
      <text>
        <r>
          <rPr>
            <sz val="9"/>
            <color indexed="81"/>
            <rFont val="Tahoma"/>
            <family val="2"/>
          </rPr>
          <t xml:space="preserve">Insert number of Summer Terms
</t>
        </r>
      </text>
    </comment>
    <comment ref="F40" authorId="0" shapeId="0" xr:uid="{B78E8582-9DC5-4503-A07E-F12F99A76D8C}">
      <text>
        <r>
          <rPr>
            <sz val="9"/>
            <color indexed="81"/>
            <rFont val="Tahoma"/>
            <family val="2"/>
          </rPr>
          <t xml:space="preserve">Insert number of Summer Terms
</t>
        </r>
      </text>
    </comment>
    <comment ref="G40" authorId="0" shapeId="0" xr:uid="{4D881B25-296E-47EE-ADFE-1D9D9DA6841A}">
      <text>
        <r>
          <rPr>
            <sz val="9"/>
            <color indexed="81"/>
            <rFont val="Tahoma"/>
            <family val="2"/>
          </rPr>
          <t xml:space="preserve">Insert number of Summer Terms
</t>
        </r>
      </text>
    </comment>
    <comment ref="H40" authorId="0" shapeId="0" xr:uid="{7DC5663D-C8FF-4CCE-9966-A66A5FEB0F08}">
      <text>
        <r>
          <rPr>
            <sz val="9"/>
            <color indexed="81"/>
            <rFont val="Tahoma"/>
            <family val="2"/>
          </rPr>
          <t xml:space="preserve">Insert number of Summer Terms
</t>
        </r>
      </text>
    </comment>
    <comment ref="I40" authorId="0" shapeId="0" xr:uid="{CD3C9438-5C06-4088-9BF4-19E8A59A3DC5}">
      <text>
        <r>
          <rPr>
            <sz val="9"/>
            <color indexed="81"/>
            <rFont val="Tahoma"/>
            <family val="2"/>
          </rPr>
          <t xml:space="preserve">Insert number of Summer Terms
</t>
        </r>
      </text>
    </comment>
    <comment ref="D43" authorId="1" shapeId="0" xr:uid="{0DA7D5D9-3B5B-4E46-9CDA-E3B7280A1FE6}">
      <text>
        <r>
          <rPr>
            <sz val="8"/>
            <color indexed="81"/>
            <rFont val="Tahoma"/>
            <family val="2"/>
          </rPr>
          <t>In the cell below, enter the GTF’s 9 or 12 month base salary at the 1.0 FTE rate.</t>
        </r>
      </text>
    </comment>
    <comment ref="E43" authorId="1" shapeId="0" xr:uid="{37AD1E2D-A16C-4776-99DC-C21F4C996A52}">
      <text>
        <r>
          <rPr>
            <sz val="8"/>
            <color indexed="81"/>
            <rFont val="Tahoma"/>
            <family val="2"/>
          </rPr>
          <t xml:space="preserve">Salary expense will  automatically calculate with % entered below. </t>
        </r>
      </text>
    </comment>
    <comment ref="F43" authorId="1" shapeId="0" xr:uid="{BE6F2411-88EC-40D3-A5FC-C0B1F9AA80F0}">
      <text>
        <r>
          <rPr>
            <sz val="8"/>
            <color indexed="81"/>
            <rFont val="Tahoma"/>
            <family val="2"/>
          </rPr>
          <t xml:space="preserve">Salary expense will  automatically calculate with % entered below. </t>
        </r>
      </text>
    </comment>
    <comment ref="G43" authorId="1" shapeId="0" xr:uid="{5608E6C1-0DFD-404B-9A25-4F4A24543F13}">
      <text>
        <r>
          <rPr>
            <sz val="8"/>
            <color indexed="81"/>
            <rFont val="Tahoma"/>
            <family val="2"/>
          </rPr>
          <t xml:space="preserve">Salary expense will  automatically calculate with % entered below. </t>
        </r>
      </text>
    </comment>
    <comment ref="H43" authorId="1" shapeId="0" xr:uid="{1481310E-D7F7-45A6-BF56-D228C529D36C}">
      <text>
        <r>
          <rPr>
            <sz val="8"/>
            <color indexed="81"/>
            <rFont val="Tahoma"/>
            <family val="2"/>
          </rPr>
          <t xml:space="preserve">Salary expense will  automatically calculate with % entered below. </t>
        </r>
      </text>
    </comment>
    <comment ref="I43" authorId="1" shapeId="0" xr:uid="{8D1F558F-B722-4A51-8032-4537D85A3C15}">
      <text>
        <r>
          <rPr>
            <sz val="8"/>
            <color indexed="81"/>
            <rFont val="Tahoma"/>
            <family val="2"/>
          </rPr>
          <t xml:space="preserve">Salary expense will  automatically calculate with % entered below. </t>
        </r>
      </text>
    </comment>
    <comment ref="D44" authorId="1" shapeId="0" xr:uid="{C12F728D-99AB-4A90-8BBE-CDE5F7F9B7AB}">
      <text>
        <r>
          <rPr>
            <sz val="8"/>
            <color indexed="81"/>
            <rFont val="Tahoma"/>
            <family val="2"/>
          </rPr>
          <t xml:space="preserve">Input ANNUAL salary for 1 GTF at 1 FTE. </t>
        </r>
      </text>
    </comment>
    <comment ref="E44" authorId="1" shapeId="0" xr:uid="{A289360C-01D9-45F1-AAAD-D456E7B50B3B}">
      <text>
        <r>
          <rPr>
            <sz val="8"/>
            <color indexed="81"/>
            <rFont val="Tahoma"/>
            <family val="2"/>
          </rPr>
          <t>No more than .49</t>
        </r>
      </text>
    </comment>
    <comment ref="F44" authorId="1" shapeId="0" xr:uid="{DD209728-4F03-44E1-A54A-A115E827A8E4}">
      <text>
        <r>
          <rPr>
            <sz val="8"/>
            <color indexed="81"/>
            <rFont val="Tahoma"/>
            <family val="2"/>
          </rPr>
          <t>No more than .49</t>
        </r>
      </text>
    </comment>
    <comment ref="G44" authorId="1" shapeId="0" xr:uid="{CE9F1F41-C39E-408B-848B-746CF4669BB1}">
      <text>
        <r>
          <rPr>
            <sz val="8"/>
            <color indexed="81"/>
            <rFont val="Tahoma"/>
            <family val="2"/>
          </rPr>
          <t>No more than .49</t>
        </r>
      </text>
    </comment>
    <comment ref="H44" authorId="1" shapeId="0" xr:uid="{4EE3C68A-79E5-4CE6-A389-29E5D6F13009}">
      <text>
        <r>
          <rPr>
            <sz val="8"/>
            <color indexed="81"/>
            <rFont val="Tahoma"/>
            <family val="2"/>
          </rPr>
          <t>No more than .49</t>
        </r>
      </text>
    </comment>
    <comment ref="I44" authorId="1" shapeId="0" xr:uid="{F8CF002B-5F11-44CD-901B-23797CD14596}">
      <text>
        <r>
          <rPr>
            <sz val="8"/>
            <color indexed="81"/>
            <rFont val="Tahoma"/>
            <family val="2"/>
          </rPr>
          <t>No more than .49</t>
        </r>
      </text>
    </comment>
    <comment ref="E45" authorId="1" shapeId="0" xr:uid="{27BE1AB0-C88A-4A07-A05C-E5A1FF2A4423}">
      <text>
        <r>
          <rPr>
            <sz val="8"/>
            <color indexed="81"/>
            <rFont val="Tahoma"/>
            <family val="2"/>
          </rPr>
          <t>Only input FTE if summer effort is part of budget.  Otherwise, leave blank.</t>
        </r>
      </text>
    </comment>
    <comment ref="F45" authorId="1" shapeId="0" xr:uid="{BA05EF18-219B-4743-9983-70CA29429841}">
      <text>
        <r>
          <rPr>
            <sz val="8"/>
            <color indexed="81"/>
            <rFont val="Tahoma"/>
            <family val="2"/>
          </rPr>
          <t>Only input FTE if summer effort is part of budget.  Otherwise, leave blank.</t>
        </r>
      </text>
    </comment>
    <comment ref="G45" authorId="1" shapeId="0" xr:uid="{F964C3ED-3052-4A75-9A6A-BFE688ABDC2C}">
      <text>
        <r>
          <rPr>
            <sz val="8"/>
            <color indexed="81"/>
            <rFont val="Tahoma"/>
            <family val="2"/>
          </rPr>
          <t>Only input FTE if summer effort is part of budget.  Otherwise, leave blank.</t>
        </r>
      </text>
    </comment>
    <comment ref="H45" authorId="1" shapeId="0" xr:uid="{76E7E30D-3117-4FBF-B503-02BF2F3F1553}">
      <text>
        <r>
          <rPr>
            <sz val="8"/>
            <color indexed="81"/>
            <rFont val="Tahoma"/>
            <family val="2"/>
          </rPr>
          <t>Only input FTE if summer effort is part of budget.  Otherwise, leave blank.</t>
        </r>
      </text>
    </comment>
    <comment ref="I45" authorId="1" shapeId="0" xr:uid="{58A80B5C-B4B0-4EC4-AF96-DB21122F242E}">
      <text>
        <r>
          <rPr>
            <sz val="8"/>
            <color indexed="81"/>
            <rFont val="Tahoma"/>
            <family val="2"/>
          </rPr>
          <t>Only input FTE if summer effort is part of budget.  Otherwise, leave blank.</t>
        </r>
      </text>
    </comment>
    <comment ref="E46" authorId="0" shapeId="0" xr:uid="{5630ABB8-7083-4725-9173-A1DA01BCF124}">
      <text>
        <r>
          <rPr>
            <sz val="9"/>
            <color indexed="81"/>
            <rFont val="Tahoma"/>
            <family val="2"/>
          </rPr>
          <t xml:space="preserve">Insert the number of AY terms.
</t>
        </r>
      </text>
    </comment>
    <comment ref="F46" authorId="0" shapeId="0" xr:uid="{D51FB566-1BCB-4322-857A-AF12E1DD3B56}">
      <text>
        <r>
          <rPr>
            <sz val="9"/>
            <color indexed="81"/>
            <rFont val="Tahoma"/>
            <family val="2"/>
          </rPr>
          <t xml:space="preserve">Insert the number of AY terms.
</t>
        </r>
      </text>
    </comment>
    <comment ref="G46" authorId="0" shapeId="0" xr:uid="{AC8859AF-956E-4C36-97C6-B47363D03EDD}">
      <text>
        <r>
          <rPr>
            <sz val="9"/>
            <color indexed="81"/>
            <rFont val="Tahoma"/>
            <family val="2"/>
          </rPr>
          <t xml:space="preserve">Insert the number of AY terms.
</t>
        </r>
      </text>
    </comment>
    <comment ref="H46" authorId="0" shapeId="0" xr:uid="{3B88F882-EC51-4613-947E-F1169CC00C43}">
      <text>
        <r>
          <rPr>
            <sz val="9"/>
            <color indexed="81"/>
            <rFont val="Tahoma"/>
            <family val="2"/>
          </rPr>
          <t xml:space="preserve">Insert the number of AY terms.
</t>
        </r>
      </text>
    </comment>
    <comment ref="I46" authorId="0" shapeId="0" xr:uid="{9BC56398-08CC-4E94-B1F3-24972CAA9826}">
      <text>
        <r>
          <rPr>
            <sz val="9"/>
            <color indexed="81"/>
            <rFont val="Tahoma"/>
            <family val="2"/>
          </rPr>
          <t xml:space="preserve">Insert the number of AY terms.
</t>
        </r>
      </text>
    </comment>
    <comment ref="E47" authorId="0" shapeId="0" xr:uid="{FF9FB249-77A7-4104-B921-0D86956BFDD5}">
      <text>
        <r>
          <rPr>
            <sz val="9"/>
            <color indexed="81"/>
            <rFont val="Tahoma"/>
            <family val="2"/>
          </rPr>
          <t xml:space="preserve">Insert number of Summer Terms
</t>
        </r>
      </text>
    </comment>
    <comment ref="F47" authorId="0" shapeId="0" xr:uid="{8C0B25EC-DF47-4411-A3E3-CA08EF275A09}">
      <text>
        <r>
          <rPr>
            <sz val="9"/>
            <color indexed="81"/>
            <rFont val="Tahoma"/>
            <family val="2"/>
          </rPr>
          <t xml:space="preserve">Insert number of Summer Terms
</t>
        </r>
      </text>
    </comment>
    <comment ref="G47" authorId="0" shapeId="0" xr:uid="{A6491D6B-E86A-4098-8B52-049E8AD3C905}">
      <text>
        <r>
          <rPr>
            <sz val="9"/>
            <color indexed="81"/>
            <rFont val="Tahoma"/>
            <family val="2"/>
          </rPr>
          <t xml:space="preserve">Insert number of Summer Terms
</t>
        </r>
      </text>
    </comment>
    <comment ref="H47" authorId="0" shapeId="0" xr:uid="{1600351D-66CD-488A-A35D-CCF6DB164D08}">
      <text>
        <r>
          <rPr>
            <sz val="9"/>
            <color indexed="81"/>
            <rFont val="Tahoma"/>
            <family val="2"/>
          </rPr>
          <t xml:space="preserve">Insert number of Summer Terms
</t>
        </r>
      </text>
    </comment>
    <comment ref="I47" authorId="0" shapeId="0" xr:uid="{B0E8853E-F1A9-443F-8F02-B6B3A6561C6A}">
      <text>
        <r>
          <rPr>
            <sz val="9"/>
            <color indexed="81"/>
            <rFont val="Tahoma"/>
            <family val="2"/>
          </rPr>
          <t xml:space="preserve">Insert number of Summer Terms
</t>
        </r>
      </text>
    </comment>
    <comment ref="C52" authorId="1" shapeId="0" xr:uid="{71D7B5F8-AB72-4B07-B34B-DB0831F6F0A3}">
      <text>
        <r>
          <rPr>
            <b/>
            <sz val="8"/>
            <color indexed="81"/>
            <rFont val="Tahoma"/>
            <family val="2"/>
          </rPr>
          <t>Automatic calculation based on the employee Eclass OPE Rates tab of this Workbook.</t>
        </r>
        <r>
          <rPr>
            <sz val="8"/>
            <color indexed="81"/>
            <rFont val="Tahoma"/>
            <family val="2"/>
          </rPr>
          <t xml:space="preserve">
</t>
        </r>
      </text>
    </comment>
    <comment ref="C65" authorId="0" shapeId="0" xr:uid="{EBC729D4-4D7E-4033-BDC8-A1DA7D45E1FF}">
      <text>
        <r>
          <rPr>
            <sz val="9"/>
            <color indexed="81"/>
            <rFont val="Tahoma"/>
            <family val="2"/>
          </rPr>
          <t xml:space="preserve">Enter 9 for 9-mo. 
appointment or 12 for 12-mo appointment
</t>
        </r>
      </text>
    </comment>
    <comment ref="C73" authorId="0" shapeId="0" xr:uid="{98952DBF-0469-4FD0-B1CF-E6685ABAFF1D}">
      <text>
        <r>
          <rPr>
            <b/>
            <sz val="9"/>
            <color indexed="81"/>
            <rFont val="Tahoma"/>
            <family val="2"/>
          </rPr>
          <t>Automatic calculation based on the employee Eclass OPE Rates tab of this Workbook.</t>
        </r>
      </text>
    </comment>
    <comment ref="C74" authorId="0" shapeId="0" xr:uid="{072F8484-277D-4A60-A556-DBE97071FCC9}">
      <text>
        <r>
          <rPr>
            <b/>
            <sz val="9"/>
            <color indexed="81"/>
            <rFont val="Tahoma"/>
            <family val="2"/>
          </rPr>
          <t>Automatic calculation based on the employee Eclass OPE Rates tab of this Workbook.</t>
        </r>
      </text>
    </comment>
    <comment ref="C76" authorId="0" shapeId="0" xr:uid="{09AF9B37-F055-4B4F-90CD-4312235FD8E5}">
      <text>
        <r>
          <rPr>
            <b/>
            <sz val="9"/>
            <color indexed="81"/>
            <rFont val="Tahoma"/>
            <family val="2"/>
          </rPr>
          <t>Automatic calculation based on the employee Eclass OPE Rates tab of this Workbook.</t>
        </r>
      </text>
    </comment>
    <comment ref="B163" authorId="0" shapeId="0" xr:uid="{134F8ACB-E754-4670-802A-69510D484D8B}">
      <text>
        <r>
          <rPr>
            <b/>
            <sz val="9"/>
            <color indexed="81"/>
            <rFont val="Tahoma"/>
            <family val="2"/>
          </rPr>
          <t>Leave blank if Federally Negotiated F&amp;A rate is used.</t>
        </r>
        <r>
          <rPr>
            <sz val="9"/>
            <color indexed="81"/>
            <rFont val="Tahoma"/>
            <family val="2"/>
          </rPr>
          <t xml:space="preserve">
</t>
        </r>
      </text>
    </comment>
    <comment ref="K163" authorId="0" shapeId="0" xr:uid="{5AC88C07-0D7E-42FC-96B5-7CD62BD6F38F}">
      <text>
        <r>
          <rPr>
            <b/>
            <sz val="9"/>
            <color indexed="81"/>
            <rFont val="Tahoma"/>
            <family val="2"/>
          </rPr>
          <t>Leave blank if Federally Negotiated F&amp;A rate is used.</t>
        </r>
      </text>
    </comment>
    <comment ref="L163" authorId="0" shapeId="0" xr:uid="{F7839189-4093-46B2-8622-22D69DD1DC0C}">
      <text>
        <r>
          <rPr>
            <b/>
            <sz val="9"/>
            <color indexed="81"/>
            <rFont val="Tahoma"/>
            <family val="2"/>
          </rPr>
          <t>Leave blank if Federally Negotiated F&amp;A rate is used.</t>
        </r>
        <r>
          <rPr>
            <sz val="9"/>
            <color indexed="81"/>
            <rFont val="Tahoma"/>
            <family val="2"/>
          </rPr>
          <t xml:space="preserve">
</t>
        </r>
      </text>
    </comment>
    <comment ref="M163" authorId="0" shapeId="0" xr:uid="{2D98CE79-7B5B-4F51-8160-E347895DCF36}">
      <text>
        <r>
          <rPr>
            <b/>
            <sz val="9"/>
            <color indexed="81"/>
            <rFont val="Tahoma"/>
            <family val="2"/>
          </rPr>
          <t>Leave blank if Federally Negotiated F&amp;A rate is used.</t>
        </r>
        <r>
          <rPr>
            <sz val="9"/>
            <color indexed="81"/>
            <rFont val="Tahoma"/>
            <family val="2"/>
          </rPr>
          <t xml:space="preserve">
</t>
        </r>
      </text>
    </comment>
    <comment ref="N163" authorId="0" shapeId="0" xr:uid="{8EFED2EF-69DA-4BCF-B7CA-98AD4DC043EF}">
      <text>
        <r>
          <rPr>
            <b/>
            <sz val="9"/>
            <color indexed="81"/>
            <rFont val="Tahoma"/>
            <family val="2"/>
          </rPr>
          <t>Leave blank if Federally Negotiated F&amp;A rate is used.</t>
        </r>
        <r>
          <rPr>
            <sz val="9"/>
            <color indexed="81"/>
            <rFont val="Tahoma"/>
            <family val="2"/>
          </rPr>
          <t xml:space="preserve">
</t>
        </r>
      </text>
    </comment>
    <comment ref="O163" authorId="0" shapeId="0" xr:uid="{7E9DDD59-04AD-4C60-B937-A0D6857FA87E}">
      <text>
        <r>
          <rPr>
            <b/>
            <sz val="9"/>
            <color indexed="81"/>
            <rFont val="Tahoma"/>
            <family val="2"/>
          </rPr>
          <t>Leave blank if Federally Negotiated F&amp;A rate is used.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9F561995-D983-4BBD-8389-4359841FA82B}">
      <text>
        <r>
          <rPr>
            <b/>
            <sz val="8"/>
            <color indexed="81"/>
            <rFont val="Tahoma"/>
            <family val="2"/>
          </rPr>
          <t>Enter SU Effort as a decimal or fraction (not as percent) greater than 0 but equal to, or less than 1.0</t>
        </r>
      </text>
    </comment>
    <comment ref="D10" authorId="0" shapeId="0" xr:uid="{CBC87306-395E-4FED-8E12-BA1A318B1A24}">
      <text>
        <r>
          <rPr>
            <b/>
            <sz val="8"/>
            <color indexed="81"/>
            <rFont val="Tahoma"/>
            <family val="2"/>
          </rPr>
          <t>Enter AY Effort as a decimal or fraction (not as percent) greater than 0 but equal to, or less than 1.0</t>
        </r>
      </text>
    </comment>
    <comment ref="G10" authorId="0" shapeId="0" xr:uid="{B03FD3A9-09D4-4B56-9B9B-F09DC8C419FD}">
      <text>
        <r>
          <rPr>
            <b/>
            <sz val="8"/>
            <color indexed="81"/>
            <rFont val="Tahoma"/>
            <family val="2"/>
          </rPr>
          <t>Enter Cal. Effort as a decimal or fraction (not as percent) greater than 0 but equal to, or less than 1.0</t>
        </r>
      </text>
    </comment>
    <comment ref="A21" authorId="0" shapeId="0" xr:uid="{216B8711-7C8B-42AD-8679-BAD5BB573E53}">
      <text>
        <r>
          <rPr>
            <b/>
            <sz val="8"/>
            <color indexed="81"/>
            <rFont val="Tahoma"/>
            <family val="2"/>
          </rPr>
          <t>Enter the Summer Person Month (PM) as a number between 0 and 3</t>
        </r>
      </text>
    </comment>
    <comment ref="D21" authorId="0" shapeId="0" xr:uid="{0D9930AA-C886-4F3E-BF57-561B772F6852}">
      <text>
        <r>
          <rPr>
            <b/>
            <sz val="8"/>
            <color indexed="81"/>
            <rFont val="Tahoma"/>
            <family val="2"/>
          </rPr>
          <t>Enter the AY Person Month (PM) as a number between 0 and 9</t>
        </r>
      </text>
    </comment>
    <comment ref="G21" authorId="0" shapeId="0" xr:uid="{6EC04286-76DC-4196-BE59-5F2D038BED5C}">
      <text>
        <r>
          <rPr>
            <b/>
            <sz val="8"/>
            <color indexed="81"/>
            <rFont val="Tahoma"/>
            <family val="2"/>
          </rPr>
          <t>Enter the Cal. Person Month (PM) as a number between 0 and 12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C3" authorId="0" shapeId="0" xr:uid="{D5B92D54-732F-414A-8E08-0F2D5C517033}">
      <text>
        <r>
          <rPr>
            <b/>
            <sz val="9"/>
            <color indexed="81"/>
            <rFont val="Tahoma"/>
            <family val="2"/>
          </rPr>
          <t>Enter the current NIH Salary CAP</t>
        </r>
        <r>
          <rPr>
            <sz val="9"/>
            <color indexed="81"/>
            <rFont val="Tahoma"/>
            <family val="2"/>
          </rPr>
          <t xml:space="preserve">
</t>
        </r>
      </text>
    </comment>
    <comment ref="C7" authorId="0" shapeId="0" xr:uid="{174DA6DE-2F86-4C93-B165-1D7E1317E41D}">
      <text>
        <r>
          <rPr>
            <b/>
            <sz val="9"/>
            <color indexed="81"/>
            <rFont val="Tahoma"/>
            <family val="2"/>
          </rPr>
          <t>Enter 9 or 12 for type of Appointment</t>
        </r>
        <r>
          <rPr>
            <sz val="9"/>
            <color indexed="81"/>
            <rFont val="Tahoma"/>
            <family val="2"/>
          </rPr>
          <t xml:space="preserve">
</t>
        </r>
      </text>
    </comment>
    <comment ref="C8" authorId="0" shapeId="0" xr:uid="{C49E4587-BD69-480E-B837-BD038E0A4C42}">
      <text>
        <r>
          <rPr>
            <b/>
            <sz val="9"/>
            <color indexed="81"/>
            <rFont val="Tahoma"/>
            <family val="2"/>
          </rPr>
          <t>Enter the UO 9 or 12 month base from PWIVERI</t>
        </r>
        <r>
          <rPr>
            <sz val="9"/>
            <color indexed="81"/>
            <rFont val="Tahoma"/>
            <family val="2"/>
          </rPr>
          <t xml:space="preserve">
</t>
        </r>
      </text>
    </comment>
    <comment ref="D15" authorId="0" shapeId="0" xr:uid="{26208785-FDF6-435E-8FE1-FA6B7EE38ACE}">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081D0091-B82A-4F89-B4C6-E26EC0EBC7BC}">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8B6EAF19-54F5-4BC2-90AB-D4EB08136518}">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ABA56C47-25C8-43E0-BDC1-8D93DCA8C964}">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4F684FFC-D8AA-4015-B6E3-C9A11CD021E8}">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<sst xmlns="http://schemas.openxmlformats.org/spreadsheetml/2006/main" count="466" uniqueCount="267">
  <si>
    <t>University of Oregon</t>
  </si>
  <si>
    <t>YEAR 1</t>
  </si>
  <si>
    <t>YEAR 2</t>
  </si>
  <si>
    <t>YEAR 3</t>
  </si>
  <si>
    <t>TOTAL</t>
  </si>
  <si>
    <t>Total Fringe Benefits</t>
  </si>
  <si>
    <t>TRAVEL</t>
  </si>
  <si>
    <t>Total Other</t>
  </si>
  <si>
    <t xml:space="preserve">PI DEPT:  </t>
  </si>
  <si>
    <t>Stipend</t>
  </si>
  <si>
    <t>Travel</t>
  </si>
  <si>
    <t>Subsistence</t>
  </si>
  <si>
    <t>Other</t>
  </si>
  <si>
    <t>Total Participant Support</t>
  </si>
  <si>
    <t>TOTAL PERSONNEL</t>
  </si>
  <si>
    <t>Tuition</t>
  </si>
  <si>
    <t>Domestic</t>
  </si>
  <si>
    <t>Foreign</t>
  </si>
  <si>
    <t>Total Equipment</t>
  </si>
  <si>
    <t>Total Travel</t>
  </si>
  <si>
    <t>Total Supplies</t>
  </si>
  <si>
    <t>[Other]</t>
  </si>
  <si>
    <t xml:space="preserve">Total Subcontracts </t>
  </si>
  <si>
    <t xml:space="preserve">Subcontract </t>
  </si>
  <si>
    <t>Totals</t>
  </si>
  <si>
    <t>FRINGE BENEFITS (OPE)</t>
  </si>
  <si>
    <t>In-state</t>
  </si>
  <si>
    <t xml:space="preserve"> </t>
  </si>
  <si>
    <t xml:space="preserve">EPCS# </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</si>
  <si>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</si>
  <si>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</si>
  <si>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</si>
  <si>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</si>
  <si>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</si>
  <si>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</si>
  <si>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</si>
  <si>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</si>
  <si>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</si>
  <si>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</si>
  <si>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</si>
  <si>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</si>
  <si>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</si>
  <si>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</si>
  <si>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</si>
  <si>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</si>
  <si>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</si>
  <si>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</si>
  <si>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</si>
  <si>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</si>
  <si>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</si>
  <si>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</si>
  <si>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</si>
  <si>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</si>
  <si>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</si>
  <si>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</si>
  <si>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</si>
  <si>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</si>
  <si>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</si>
  <si>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</si>
  <si>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</si>
  <si>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</si>
  <si>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</si>
  <si>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</si>
  <si>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</si>
  <si>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</si>
  <si>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</si>
  <si>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</si>
  <si>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</si>
  <si>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</si>
  <si>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</si>
  <si>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</si>
  <si>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</si>
  <si>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</si>
  <si>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</si>
  <si>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</si>
  <si>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</si>
  <si>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DIRECT COSTS (includes Total Subcontracts Costs)</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</si>
  <si>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</si>
  <si>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</si>
  <si>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</si>
  <si>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</si>
  <si>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</si>
  <si>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</si>
  <si>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</si>
  <si>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Out-of-state Tuition</t>
  </si>
  <si>
    <t>In-state Tuition</t>
  </si>
  <si>
    <t>AY</t>
  </si>
  <si>
    <t>Reference Year</t>
  </si>
  <si>
    <t>MODIFIED TOTAL DIRECT COSTS (MTDC)*</t>
  </si>
  <si>
    <t>- Enter Applicable F&amp;A Rate Below-</t>
  </si>
  <si>
    <t>TOTAL COSTS</t>
  </si>
  <si>
    <t>QRC</t>
  </si>
  <si>
    <r>
      <t xml:space="preserve">YEAR R&amp;R DETAILED BUDGET  </t>
    </r>
    <r>
      <rPr>
        <b/>
        <sz val="12"/>
        <color indexed="10"/>
        <rFont val="Times New Roman"/>
        <family val="1"/>
      </rPr>
      <t>(Always change cell A1 to equal the number of project years for this budget)</t>
    </r>
  </si>
  <si>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</si>
  <si>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</si>
  <si>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</si>
  <si>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</si>
  <si>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</si>
  <si>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</si>
  <si>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</si>
  <si>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</si>
  <si>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</si>
  <si>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</si>
  <si>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</si>
  <si>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</si>
  <si>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</si>
  <si>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</si>
  <si>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</si>
  <si>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</si>
  <si>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</si>
  <si>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</si>
  <si>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</si>
  <si>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</si>
  <si>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</si>
  <si>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</si>
  <si>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</si>
  <si>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</si>
  <si>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</si>
  <si>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</si>
  <si>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</si>
  <si>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§200.68   Modified Total Direct Cost (MTDC).</t>
  </si>
  <si>
    <t xml:space="preserve">MTDC means all direct salaries and wages, applicable fringe benefits, materials and supplies, services, travel, and </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</si>
  <si>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</si>
  <si>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</si>
  <si>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inequity in the distribution of indirect costs, and with the approval of the cognizant agency for indirect costs.</t>
  </si>
  <si>
    <t>Work Study Students</t>
  </si>
  <si>
    <t xml:space="preserve">  Total F&amp;A Exempt Other</t>
  </si>
  <si>
    <t>Template revised</t>
  </si>
  <si>
    <t xml:space="preserve">Please reference this link for additional guidance:   </t>
  </si>
  <si>
    <t>Payroll COLA</t>
  </si>
  <si>
    <t>Non-Payroll COLA</t>
  </si>
  <si>
    <t>2 CFR §200.456   Participant Support costs:</t>
  </si>
  <si>
    <t>Participant support costs as defined in §200.75 Participant support costs are allowable with the prior approval of the Federal awarding agency.</t>
  </si>
  <si>
    <t>2 CFR §200.75   Participant support costs:</t>
  </si>
  <si>
    <t>Non Personnel COLA</t>
  </si>
  <si>
    <t>Other UO Tuition</t>
  </si>
  <si>
    <t>Increase/Yr</t>
  </si>
  <si>
    <t>Research: on campus</t>
  </si>
  <si>
    <t>Research: off campus</t>
  </si>
  <si>
    <t>Instruction: on campus</t>
  </si>
  <si>
    <t>Instruction: off campus</t>
  </si>
  <si>
    <t>Other Sponsored Activity: on campus</t>
  </si>
  <si>
    <t>Other Sponsored Activity: off campus</t>
  </si>
  <si>
    <t>Select Project Type</t>
  </si>
  <si>
    <t>Awarded</t>
  </si>
  <si>
    <t>Facilities/Administrative (Indirect Cost) Rate:</t>
  </si>
  <si>
    <t>Facilities/Administrative Costs (Indirect Costs) of MTDC</t>
  </si>
  <si>
    <t xml:space="preserve">Agency Limited F&amp;A or other Approved F&amp;A Rate: </t>
  </si>
  <si>
    <t xml:space="preserve">Eclass </t>
  </si>
  <si>
    <t>AY Fees</t>
  </si>
  <si>
    <t>SU Fees</t>
  </si>
  <si>
    <t>SU Ins</t>
  </si>
  <si>
    <t>AY/term</t>
  </si>
  <si>
    <t>SU/Term</t>
  </si>
  <si>
    <t>SU/term</t>
  </si>
  <si>
    <t>Select Employee Class</t>
  </si>
  <si>
    <t xml:space="preserve">Employee class </t>
  </si>
  <si>
    <t>Description</t>
  </si>
  <si>
    <t>9 Month Faculty/Staff (SU)</t>
  </si>
  <si>
    <t>Classified - Service</t>
  </si>
  <si>
    <t>Classified - Clerical/Skilled</t>
  </si>
  <si>
    <t>Classified - Technical</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</si>
  <si>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</si>
  <si>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</si>
  <si>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</si>
  <si>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</si>
  <si>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</si>
  <si>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</si>
  <si>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</si>
  <si>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</si>
  <si>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</si>
  <si>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</si>
  <si>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GE COLA</t>
  </si>
  <si>
    <t>GE Fees</t>
  </si>
  <si>
    <t>GE Ins</t>
  </si>
  <si>
    <t>GE  AY effort</t>
  </si>
  <si>
    <t>GE summer effort</t>
  </si>
  <si>
    <t>GE I and GE II (Full Time Tuition)</t>
  </si>
  <si>
    <t>GE III (3 Credit Hours per Term)</t>
  </si>
  <si>
    <t>GE Salaries</t>
  </si>
  <si>
    <t>GE, OPE + insurance/fees</t>
  </si>
  <si>
    <t>Annual increase on GE AY Fees</t>
  </si>
  <si>
    <t>Annual increase on GE SU Fees</t>
  </si>
  <si>
    <t>Annual increase on GE Insurance</t>
  </si>
  <si>
    <t>Annual increase on GE Tuition</t>
  </si>
  <si>
    <t>12 Month Faculty, w/ appt. .5+ FTE &amp; Hrly</t>
  </si>
  <si>
    <t>The Faculty/Staff A Employee Class consists of all salaried staff employees, and faculty members that are on a twelve month schedule.  Most of these employees are all eligible for sick leave and vacation leave.</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</si>
  <si>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</si>
  <si>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</si>
  <si>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</si>
  <si>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</si>
  <si>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The Faculty/Staff B Employee Class consists of faculty members that are on a nine month schedule that are sick leave eligible but not eligible for vacation leave, all Post Docs, and employees coded as Executives.</t>
  </si>
  <si>
    <t>Students</t>
  </si>
  <si>
    <t>9 or 12 Month Faculty, w/ appt. &lt;.5 FTE</t>
  </si>
  <si>
    <t>9 Month Faculty (AY) .5+ FTE, Postdocs, Executives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</si>
  <si>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</si>
  <si>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</si>
  <si>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</si>
  <si>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</si>
  <si>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UO Office of Budget and Resources Planning -  Blended OPE</t>
  </si>
  <si>
    <t xml:space="preserve">In December of 2020, the "IF" statement compares the 1st year of the project to year 2026. If less than 2026, the logic pulls the fringe benefit rate from the table for the appropriate </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</si>
  <si>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</si>
  <si>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</si>
  <si>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</si>
  <si>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</si>
  <si>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</si>
  <si>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</si>
  <si>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</si>
  <si>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t xml:space="preserve">The formula is updated in December of 2020 to included the number "12" in the "Offset from Base Year" formula, "MAX(0,MIN(12,F29-$B$4))" to account for the </t>
  </si>
  <si>
    <t>additional years added to the spreadsheet.</t>
  </si>
  <si>
    <t>first year, 2021 through 2026. If more  than  2026, the logic pulls the fringe benefit rate from the table for year 2026, and no increase in fringe benefit rates  is included.</t>
  </si>
  <si>
    <t xml:space="preserve">will again update the posted fringe benefit rates at least once again in the next twelve months, since BRP submits fringe benefit rate proposals to DHHS annually around December </t>
  </si>
  <si>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</si>
  <si>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</si>
  <si>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</si>
  <si>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</si>
  <si>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</si>
  <si>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</si>
  <si>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</si>
  <si>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</si>
  <si>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</si>
  <si>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AY Ins</t>
  </si>
  <si>
    <t>https://research.uoregon.edu/apply/apply-external-funding/prepare/nih-salary-cap</t>
  </si>
  <si>
    <t>Y</t>
  </si>
  <si>
    <t>% FTE</t>
  </si>
  <si>
    <t>PI Name:</t>
  </si>
  <si>
    <t>[Total costs, Subrecipient Institution 1]</t>
  </si>
  <si>
    <t>[Total costs, Subrecipient Institution 2]</t>
  </si>
  <si>
    <t>[Total costs, Subrecipient Institution 3]</t>
  </si>
  <si>
    <t>OTHER DIRECT COSTS</t>
  </si>
  <si>
    <t>PARTICIPANT SUPPORT COSTS</t>
  </si>
  <si>
    <t>1. MATERIALS AND SUPPLIES</t>
  </si>
  <si>
    <t>2. PUBLICATION COSTS/DOCUMENTATION/DISSEMINATION</t>
  </si>
  <si>
    <t>3. CONSULTANT SERVICES</t>
  </si>
  <si>
    <t>4. COMPUTER SERVICES</t>
  </si>
  <si>
    <t>5. SUBAWARDEES</t>
  </si>
  <si>
    <t>Total Consultant Services</t>
  </si>
  <si>
    <t>Total Computer Services</t>
  </si>
  <si>
    <t>Total Tuition</t>
  </si>
  <si>
    <t xml:space="preserve"> 6.  OTHER - GRADUATE TUITION (F&amp;A Exempt)</t>
  </si>
  <si>
    <t xml:space="preserve"> 6.  OTHER - OFF-SITE FACILITY RENTAL (F&amp;A Exempt)</t>
  </si>
  <si>
    <t>6. OTHER</t>
  </si>
  <si>
    <t>Total Other Direct Costs</t>
  </si>
  <si>
    <t>Total Publications</t>
  </si>
  <si>
    <t>&lt;=25K</t>
  </si>
  <si>
    <t>&gt;25K</t>
  </si>
  <si>
    <t xml:space="preserve">subawards and subcontracts up to the first $25,000 of each subaward or subcontract (regardless of the period of </t>
  </si>
  <si>
    <t xml:space="preserve">subaward and subcontract in excess of $25,000. Other items may only be excluded when necessary to avoid a serious </t>
  </si>
  <si>
    <t>Fringe Benefits "Other Payroll Expenses" (OPE)</t>
  </si>
  <si>
    <t xml:space="preserve">Estimated Future Years by Budget and Resource Planning </t>
  </si>
  <si>
    <t>Blended OPE Link</t>
  </si>
  <si>
    <t>Estimated Future Rates</t>
  </si>
  <si>
    <t>Average change in OPE Rates</t>
  </si>
  <si>
    <t>Change</t>
  </si>
  <si>
    <t>SPS Estimate</t>
  </si>
  <si>
    <t>1-1-25 Notes for SPS calculated OPE</t>
  </si>
  <si>
    <t xml:space="preserve">Before 1-1-25, the budget template used a two formulas which sometimes resulted in an error when the OPE rate decreased. </t>
  </si>
  <si>
    <t>For SPS calculated OPE I used the average of the previous 5 years for columns G &amp; H.  I hopt that the 5-year average is a good solution.</t>
  </si>
  <si>
    <t xml:space="preserve">The below two paragraphs are out of date but you may find useful for figuring out the formulas. </t>
  </si>
  <si>
    <r>
      <t>Logic for formula calculation in Rows</t>
    </r>
    <r>
      <rPr>
        <b/>
        <strike/>
        <sz val="10"/>
        <color indexed="10"/>
        <rFont val="Times New Roman"/>
        <family val="1"/>
      </rPr>
      <t xml:space="preserve"> 31 through 38</t>
    </r>
    <r>
      <rPr>
        <b/>
        <sz val="10"/>
        <color indexed="10"/>
        <rFont val="Times New Roman"/>
        <family val="1"/>
      </rPr>
      <t>, columns B through F:</t>
    </r>
  </si>
  <si>
    <t>I think it should be rows 26-33.</t>
  </si>
  <si>
    <t xml:space="preserve">I could not determine the purpose of the table A15-H23.  Since the formulas for B26-F33 do not work without the table,  I will keep it as part of the spreadsheet. </t>
  </si>
  <si>
    <r>
      <t xml:space="preserve">Logic for formula calculation in Row </t>
    </r>
    <r>
      <rPr>
        <b/>
        <strike/>
        <sz val="10"/>
        <color indexed="10"/>
        <rFont val="Times New Roman"/>
        <family val="1"/>
      </rPr>
      <t>30</t>
    </r>
    <r>
      <rPr>
        <b/>
        <sz val="10"/>
        <color indexed="10"/>
        <rFont val="Times New Roman"/>
        <family val="1"/>
      </rPr>
      <t xml:space="preserve">, </t>
    </r>
    <r>
      <rPr>
        <b/>
        <sz val="10"/>
        <color indexed="12"/>
        <rFont val="Times New Roman"/>
        <family val="1"/>
      </rPr>
      <t>25</t>
    </r>
    <r>
      <rPr>
        <b/>
        <sz val="10"/>
        <color indexed="10"/>
        <rFont val="Times New Roman"/>
        <family val="1"/>
      </rPr>
      <t xml:space="preserve"> columns B through F.</t>
    </r>
  </si>
  <si>
    <t>In compliance with NOT-HS-25-015. Release date January 22, 2025---See</t>
  </si>
  <si>
    <t>NIH notice NOT-HS-25-015</t>
  </si>
  <si>
    <t>26-27</t>
  </si>
  <si>
    <t>EQUIPMENT (List item and dollar amount for each item $5,000 and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</si>
</sst>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_);_(* \(#,##0.0\);_(* &quot;-&quot;??_);_(@_)"/>
  </numFmts>
  <fonts count="64">
    <font>
      <sz val="10"/>
      <name val="Helv"/>
    </font>
    <font>
      <b/>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sz val="12"/>
      <color indexed="10"/>
      <name val="Times New Roman"/>
      <family val="1"/>
    </font>
    <font>
      <b/>
      <i/>
      <sz val="10"/>
      <name val="Times New Roman"/>
      <family val="1"/>
    </font>
    <font>
      <sz val="11"/>
      <name val="Times New Roman"/>
      <family val="1"/>
    </font>
    <font>
      <b/>
      <sz val="11"/>
      <name val="Arial"/>
      <family val="2"/>
    </font>
    <font>
      <b/>
      <sz val="10"/>
      <color indexed="10"/>
      <name val="Times New Roman"/>
      <family val="1"/>
    </font>
    <font>
      <sz val="11"/>
      <name val="Arial"/>
      <family val="2"/>
    </font>
    <font>
      <b/>
      <sz val="8"/>
      <name val="Times New Roman"/>
      <family val="1"/>
    </font>
    <font>
      <b/>
      <i/>
      <sz val="11"/>
      <name val="Times New Roman"/>
      <family val="1"/>
    </font>
    <font>
      <u/>
      <sz val="11"/>
      <color indexed="12"/>
      <name val="Ariel"/>
    </font>
    <font>
      <b/>
      <sz val="10"/>
      <color indexed="12"/>
      <name val="Times New Roman"/>
      <family val="1"/>
    </font>
    <font>
      <sz val="11"/>
      <name val="Helv"/>
    </font>
    <font>
      <b/>
      <strike/>
      <sz val="10"/>
      <color indexed="10"/>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00B050"/>
      <name val="Times New Roman"/>
      <family val="1"/>
    </font>
    <font>
      <sz val="10"/>
      <color rgb="FF0000CC"/>
      <name val="Times New Roman"/>
      <family val="1"/>
    </font>
    <font>
      <i/>
      <sz val="10"/>
      <color rgb="FF0000CC"/>
      <name val="Times New Roman"/>
      <family val="1"/>
    </font>
    <font>
      <b/>
      <sz val="16"/>
      <color rgb="FFFF0000"/>
      <name val="Times New Roman"/>
      <family val="1"/>
    </font>
    <font>
      <b/>
      <sz val="12"/>
      <color rgb="FFFF0000"/>
      <name val="Times New Roman"/>
      <family val="1"/>
    </font>
    <font>
      <b/>
      <sz val="10"/>
      <color rgb="FFFF0000"/>
      <name val="Times New Roman"/>
      <family val="1"/>
    </font>
    <font>
      <b/>
      <i/>
      <sz val="10"/>
      <color theme="0"/>
      <name val="Times New Roman"/>
      <family val="1"/>
    </font>
    <font>
      <sz val="10"/>
      <color rgb="FFFF0000"/>
      <name val="Times New Roman"/>
      <family val="1"/>
    </font>
    <font>
      <sz val="10"/>
      <color rgb="FF006600"/>
      <name val="Times New Roman"/>
      <family val="1"/>
    </font>
    <font>
      <sz val="11"/>
      <color rgb="FF000000"/>
      <name val="Calibri"/>
      <family val="2"/>
    </font>
    <font>
      <b/>
      <sz val="12"/>
      <color theme="1"/>
      <name val="Arial"/>
      <family val="2"/>
    </font>
    <font>
      <b/>
      <sz val="11"/>
      <color theme="1"/>
      <name val="Arial"/>
      <family val="2"/>
    </font>
    <font>
      <b/>
      <sz val="10"/>
      <color rgb="FF006600"/>
      <name val="Times New Roman"/>
      <family val="1"/>
    </font>
    <font>
      <sz val="10"/>
      <color rgb="FF002060"/>
      <name val="Times New Roman"/>
      <family val="1"/>
    </font>
    <font>
      <sz val="11"/>
      <color rgb="FF006600"/>
      <name val="Times New Roman"/>
      <family val="1"/>
    </font>
    <font>
      <b/>
      <sz val="10"/>
      <color rgb="FF0000FF"/>
      <name val="Times New Roman"/>
      <family val="1"/>
    </font>
    <font>
      <b/>
      <sz val="11"/>
      <color rgb="FF0000FF"/>
      <name val="Times New Roman"/>
      <family val="1"/>
    </font>
    <font>
      <u/>
      <sz val="10"/>
      <color indexed="12"/>
      <name val="Calibri"/>
      <family val="2"/>
      <scheme val="minor"/>
    </font>
    <font>
      <b/>
      <sz val="12"/>
      <color rgb="FF0000CC"/>
      <name val="Times New Roman"/>
      <family val="1"/>
    </font>
  </fonts>
  <fills count="19">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rgb="FFF2F2F2"/>
        <bgColor indexed="64"/>
      </patternFill>
    </fill>
    <fill>
      <patternFill patternType="solid">
        <fgColor theme="8" tint="0.79998168889431442"/>
        <bgColor indexed="64"/>
      </patternFill>
    </fill>
  </fills>
  <borders count="60">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bottom style="double">
        <color indexed="64"/>
      </bottom>
      <diagonal/>
    </border>
    <border>
      <left style="thin">
        <color indexed="64"/>
      </left>
      <right/>
      <top/>
      <bottom style="double">
        <color indexed="64"/>
      </bottom>
      <diagonal/>
    </border>
    <border>
      <left/>
      <right/>
      <top style="double">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indexed="64"/>
      </right>
      <top/>
      <bottom style="medium">
        <color rgb="FF000000"/>
      </bottom>
      <diagonal/>
    </border>
    <border>
      <left style="thin">
        <color indexed="64"/>
      </left>
      <right/>
      <top/>
      <bottom style="medium">
        <color rgb="FF000000"/>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medium">
        <color rgb="FF000000"/>
      </left>
      <right style="medium">
        <color theme="0" tint="-0.14996795556505021"/>
      </right>
      <top style="medium">
        <color theme="0" tint="-0.14996795556505021"/>
      </top>
      <bottom style="medium">
        <color theme="0" tint="-0.14996795556505021"/>
      </bottom>
      <diagonal/>
    </border>
    <border>
      <left/>
      <right style="thin">
        <color indexed="64"/>
      </right>
      <top style="thin">
        <color theme="0" tint="-0.24994659260841701"/>
      </top>
      <bottom style="thin">
        <color theme="0" tint="-0.24994659260841701"/>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indexed="64"/>
      </right>
      <top style="medium">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bottom style="medium">
        <color rgb="FF000000"/>
      </bottom>
      <diagonal/>
    </border>
  </borders>
  <cellStyleXfs count="11">
    <xf numFmtId="0" fontId="0" fillId="0" borderId="0"/>
    <xf numFmtId="43" fontId="2" fillId="0" borderId="0" applyFont="0" applyFill="0" applyBorder="0" applyAlignment="0" applyProtection="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13" fillId="0" borderId="0"/>
    <xf numFmtId="0" fontId="2" fillId="0" borderId="0"/>
    <xf numFmtId="0" fontId="4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cellStyleXfs>
  <cellXfs count="438">
    <xf numFmtId="0" fontId="0" fillId="0" borderId="0" xfId="0"/>
    <xf numFmtId="0" fontId="5"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3" fontId="6" fillId="0" borderId="0" xfId="0" applyNumberFormat="1" applyFont="1" applyAlignment="1">
      <alignment horizontal="right"/>
    </xf>
    <xf numFmtId="0" fontId="5" fillId="0" borderId="6" xfId="0" applyFont="1" applyBorder="1"/>
    <xf numFmtId="3" fontId="6" fillId="0" borderId="0" xfId="0" applyNumberFormat="1" applyFont="1"/>
    <xf numFmtId="9" fontId="9" fillId="0" borderId="0" xfId="0" applyNumberFormat="1" applyFont="1"/>
    <xf numFmtId="0" fontId="7" fillId="0" borderId="7" xfId="0" applyFont="1" applyBorder="1" applyAlignment="1">
      <alignment horizontal="center"/>
    </xf>
    <xf numFmtId="0" fontId="5" fillId="0" borderId="0" xfId="0" applyFont="1" applyAlignment="1">
      <alignment horizontal="center"/>
    </xf>
    <xf numFmtId="41" fontId="12" fillId="0" borderId="0" xfId="0" applyNumberFormat="1" applyFont="1" applyAlignment="1">
      <alignment horizontal="center"/>
    </xf>
    <xf numFmtId="0" fontId="6" fillId="0" borderId="0" xfId="0" applyFont="1"/>
    <xf numFmtId="10" fontId="5" fillId="0" borderId="0" xfId="0" applyNumberFormat="1" applyFont="1"/>
    <xf numFmtId="0" fontId="5" fillId="0" borderId="8" xfId="0" applyFont="1" applyBorder="1"/>
    <xf numFmtId="1" fontId="5" fillId="0" borderId="0" xfId="0" applyNumberFormat="1" applyFont="1"/>
    <xf numFmtId="0" fontId="5" fillId="0" borderId="9" xfId="0" applyFont="1" applyBorder="1"/>
    <xf numFmtId="41" fontId="6" fillId="0" borderId="0" xfId="0" applyNumberFormat="1" applyFont="1"/>
    <xf numFmtId="41" fontId="6" fillId="0" borderId="10" xfId="0" applyNumberFormat="1" applyFont="1" applyBorder="1"/>
    <xf numFmtId="0" fontId="6" fillId="6" borderId="0" xfId="0" applyFont="1" applyFill="1" applyAlignment="1">
      <alignment horizontal="center"/>
    </xf>
    <xf numFmtId="41" fontId="5" fillId="0" borderId="0" xfId="0" applyNumberFormat="1" applyFont="1"/>
    <xf numFmtId="0" fontId="18" fillId="0" borderId="2" xfId="7" applyFont="1" applyBorder="1"/>
    <xf numFmtId="0" fontId="18" fillId="0" borderId="3" xfId="7" applyFont="1" applyBorder="1"/>
    <xf numFmtId="0" fontId="19" fillId="0" borderId="3" xfId="7" applyFont="1" applyBorder="1" applyAlignment="1">
      <alignment horizontal="center"/>
    </xf>
    <xf numFmtId="0" fontId="18" fillId="0" borderId="8" xfId="7" applyFont="1" applyBorder="1"/>
    <xf numFmtId="0" fontId="20" fillId="0" borderId="0" xfId="7" applyFont="1" applyProtection="1">
      <protection locked="0"/>
    </xf>
    <xf numFmtId="0" fontId="13" fillId="0" borderId="0" xfId="0" applyFont="1" applyProtection="1">
      <protection locked="0"/>
    </xf>
    <xf numFmtId="0" fontId="0" fillId="0" borderId="0" xfId="0" applyProtection="1">
      <protection locked="0"/>
    </xf>
    <xf numFmtId="0" fontId="18" fillId="0" borderId="4" xfId="7" applyFont="1" applyBorder="1"/>
    <xf numFmtId="0" fontId="21" fillId="0" borderId="0" xfId="7" applyFont="1" applyAlignment="1">
      <alignment horizontal="center"/>
    </xf>
    <xf numFmtId="0" fontId="18" fillId="0" borderId="0" xfId="7" applyFont="1"/>
    <xf numFmtId="0" fontId="22" fillId="0" borderId="0" xfId="7" applyFont="1"/>
    <xf numFmtId="0" fontId="18" fillId="0" borderId="5" xfId="7" applyFont="1" applyBorder="1"/>
    <xf numFmtId="0" fontId="20" fillId="0" borderId="4" xfId="7" applyFont="1" applyBorder="1"/>
    <xf numFmtId="0" fontId="20" fillId="0" borderId="0" xfId="7" applyFont="1"/>
    <xf numFmtId="0" fontId="20" fillId="0" borderId="5" xfId="7" applyFont="1" applyBorder="1"/>
    <xf numFmtId="0" fontId="0" fillId="0" borderId="5" xfId="0" applyBorder="1"/>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0" xfId="7" applyFont="1" applyFill="1"/>
    <xf numFmtId="0" fontId="24" fillId="2" borderId="5" xfId="7" applyFont="1" applyFill="1" applyBorder="1" applyAlignment="1">
      <alignment horizontal="center"/>
    </xf>
    <xf numFmtId="0" fontId="18" fillId="0" borderId="0" xfId="7" applyFont="1" applyProtection="1">
      <protection locked="0"/>
    </xf>
    <xf numFmtId="0" fontId="24" fillId="2" borderId="11" xfId="7" applyFont="1" applyFill="1" applyBorder="1" applyAlignment="1">
      <alignment horizontal="center"/>
    </xf>
    <xf numFmtId="0" fontId="24" fillId="2" borderId="10" xfId="7" applyFont="1" applyFill="1" applyBorder="1" applyAlignment="1">
      <alignment horizontal="center"/>
    </xf>
    <xf numFmtId="0" fontId="25" fillId="2" borderId="0" xfId="7" applyFont="1" applyFill="1"/>
    <xf numFmtId="0" fontId="24" fillId="2" borderId="12" xfId="7" applyFont="1" applyFill="1" applyBorder="1" applyAlignment="1">
      <alignment horizontal="center"/>
    </xf>
    <xf numFmtId="0" fontId="25" fillId="2" borderId="5" xfId="7" applyFont="1" applyFill="1" applyBorder="1"/>
    <xf numFmtId="0" fontId="23" fillId="0" borderId="0" xfId="7" applyFont="1" applyAlignment="1">
      <alignment horizontal="center"/>
    </xf>
    <xf numFmtId="0" fontId="25" fillId="2" borderId="0" xfId="7" applyFont="1" applyFill="1" applyAlignment="1">
      <alignment horizontal="center"/>
    </xf>
    <xf numFmtId="0" fontId="24" fillId="2" borderId="0" xfId="7" applyFont="1" applyFill="1" applyAlignment="1">
      <alignment horizontal="right"/>
    </xf>
    <xf numFmtId="0" fontId="24" fillId="2" borderId="5" xfId="7" applyFont="1" applyFill="1" applyBorder="1" applyAlignment="1">
      <alignment horizontal="right"/>
    </xf>
    <xf numFmtId="13" fontId="20" fillId="0" borderId="0" xfId="7" applyNumberFormat="1" applyFont="1" applyAlignment="1">
      <alignment horizontal="center"/>
    </xf>
    <xf numFmtId="13" fontId="20" fillId="0" borderId="0" xfId="7" quotePrefix="1" applyNumberFormat="1" applyFont="1" applyAlignment="1">
      <alignment horizontal="center"/>
    </xf>
    <xf numFmtId="13" fontId="20" fillId="0" borderId="0" xfId="7" applyNumberFormat="1" applyFont="1" applyAlignment="1" applyProtection="1">
      <alignment horizontal="center"/>
      <protection locked="0"/>
    </xf>
    <xf numFmtId="167" fontId="21" fillId="7" borderId="13" xfId="7" applyNumberFormat="1" applyFont="1" applyFill="1" applyBorder="1" applyAlignment="1" applyProtection="1">
      <alignment horizontal="center"/>
      <protection locked="0"/>
    </xf>
    <xf numFmtId="2" fontId="21" fillId="8" borderId="14" xfId="7" applyNumberFormat="1" applyFont="1" applyFill="1" applyBorder="1"/>
    <xf numFmtId="2" fontId="21" fillId="3" borderId="0" xfId="7" applyNumberFormat="1" applyFont="1" applyFill="1"/>
    <xf numFmtId="0" fontId="21" fillId="7" borderId="15" xfId="7" applyFont="1" applyFill="1" applyBorder="1" applyProtection="1">
      <protection locked="0"/>
    </xf>
    <xf numFmtId="2" fontId="21" fillId="8" borderId="14" xfId="7" applyNumberFormat="1" applyFont="1" applyFill="1" applyBorder="1" applyAlignment="1">
      <alignment horizontal="right"/>
    </xf>
    <xf numFmtId="0" fontId="21" fillId="3" borderId="14" xfId="7" applyFont="1" applyFill="1" applyBorder="1"/>
    <xf numFmtId="2" fontId="21" fillId="8" borderId="16" xfId="7" applyNumberFormat="1" applyFont="1" applyFill="1" applyBorder="1"/>
    <xf numFmtId="2" fontId="0" fillId="0" borderId="0" xfId="0" applyNumberFormat="1" applyAlignment="1">
      <alignment horizontal="center"/>
    </xf>
    <xf numFmtId="0" fontId="18" fillId="3" borderId="17" xfId="7" applyFont="1" applyFill="1" applyBorder="1"/>
    <xf numFmtId="2" fontId="18" fillId="3" borderId="6" xfId="7" applyNumberFormat="1" applyFont="1" applyFill="1" applyBorder="1"/>
    <xf numFmtId="0" fontId="18" fillId="3" borderId="6" xfId="7" applyFont="1" applyFill="1" applyBorder="1"/>
    <xf numFmtId="2" fontId="18" fillId="3" borderId="9" xfId="7" applyNumberFormat="1" applyFont="1" applyFill="1" applyBorder="1"/>
    <xf numFmtId="2" fontId="18" fillId="0" borderId="0" xfId="7" applyNumberFormat="1" applyFont="1"/>
    <xf numFmtId="2" fontId="18" fillId="0" borderId="5" xfId="7" applyNumberFormat="1" applyFont="1" applyBorder="1"/>
    <xf numFmtId="0" fontId="26" fillId="0" borderId="4" xfId="7" applyFont="1" applyBorder="1"/>
    <xf numFmtId="2" fontId="26" fillId="0" borderId="0" xfId="7" applyNumberFormat="1" applyFont="1"/>
    <xf numFmtId="0" fontId="26" fillId="0" borderId="0" xfId="7" applyFont="1"/>
    <xf numFmtId="0" fontId="26" fillId="0" borderId="5" xfId="7" applyFont="1" applyBorder="1"/>
    <xf numFmtId="0" fontId="25" fillId="2" borderId="4" xfId="7" applyFont="1" applyFill="1" applyBorder="1"/>
    <xf numFmtId="0" fontId="18" fillId="2" borderId="4" xfId="7" applyFont="1" applyFill="1" applyBorder="1" applyAlignment="1">
      <alignment horizontal="right"/>
    </xf>
    <xf numFmtId="0" fontId="22" fillId="2" borderId="0" xfId="7" applyFont="1" applyFill="1" applyAlignment="1">
      <alignment horizontal="right"/>
    </xf>
    <xf numFmtId="0" fontId="18" fillId="2" borderId="0" xfId="7" applyFont="1" applyFill="1" applyAlignment="1">
      <alignment horizontal="right"/>
    </xf>
    <xf numFmtId="0" fontId="22" fillId="2" borderId="0" xfId="7" applyFont="1" applyFill="1"/>
    <xf numFmtId="0" fontId="25" fillId="2" borderId="12" xfId="7" applyFont="1" applyFill="1" applyBorder="1" applyAlignment="1">
      <alignment horizontal="center"/>
    </xf>
    <xf numFmtId="0" fontId="21" fillId="9" borderId="13" xfId="7" applyFont="1" applyFill="1" applyBorder="1" applyProtection="1">
      <protection locked="0"/>
    </xf>
    <xf numFmtId="168" fontId="21" fillId="8" borderId="14" xfId="7" applyNumberFormat="1" applyFont="1" applyFill="1" applyBorder="1" applyAlignment="1">
      <alignment horizontal="center"/>
    </xf>
    <xf numFmtId="0" fontId="21" fillId="9" borderId="15" xfId="7" applyFont="1" applyFill="1" applyBorder="1" applyProtection="1">
      <protection locked="0"/>
    </xf>
    <xf numFmtId="168" fontId="21" fillId="8" borderId="14" xfId="7" applyNumberFormat="1" applyFont="1" applyFill="1" applyBorder="1"/>
    <xf numFmtId="168" fontId="21" fillId="8" borderId="16" xfId="7" applyNumberFormat="1" applyFont="1" applyFill="1" applyBorder="1"/>
    <xf numFmtId="2" fontId="26" fillId="0" borderId="0" xfId="7" applyNumberFormat="1" applyFont="1" applyProtection="1">
      <protection locked="0"/>
    </xf>
    <xf numFmtId="2" fontId="18" fillId="0" borderId="0" xfId="7" applyNumberFormat="1" applyFont="1" applyProtection="1">
      <protection locked="0"/>
    </xf>
    <xf numFmtId="43" fontId="5" fillId="0" borderId="0" xfId="0" applyNumberFormat="1" applyFont="1"/>
    <xf numFmtId="0" fontId="6" fillId="10" borderId="14" xfId="0" applyFont="1" applyFill="1" applyBorder="1"/>
    <xf numFmtId="0" fontId="6" fillId="10" borderId="18" xfId="0" applyFont="1" applyFill="1" applyBorder="1"/>
    <xf numFmtId="0" fontId="6" fillId="10" borderId="19" xfId="0" applyFont="1" applyFill="1" applyBorder="1" applyAlignment="1">
      <alignment horizontal="right"/>
    </xf>
    <xf numFmtId="0" fontId="5" fillId="10" borderId="0" xfId="0" applyFont="1" applyFill="1"/>
    <xf numFmtId="3" fontId="8" fillId="0" borderId="0" xfId="0" applyNumberFormat="1" applyFont="1" applyAlignment="1">
      <alignment horizontal="left"/>
    </xf>
    <xf numFmtId="3" fontId="5" fillId="0" borderId="0" xfId="0" applyNumberFormat="1" applyFont="1"/>
    <xf numFmtId="0" fontId="0" fillId="0" borderId="1" xfId="0" applyBorder="1"/>
    <xf numFmtId="43" fontId="43" fillId="0" borderId="0" xfId="1" applyFont="1" applyFill="1" applyBorder="1"/>
    <xf numFmtId="43" fontId="5" fillId="0" borderId="0" xfId="1" applyFont="1" applyFill="1" applyBorder="1" applyAlignment="1"/>
    <xf numFmtId="10" fontId="5" fillId="0" borderId="0" xfId="8" applyNumberFormat="1" applyFont="1" applyFill="1" applyBorder="1"/>
    <xf numFmtId="0" fontId="0" fillId="0" borderId="20" xfId="0" applyBorder="1"/>
    <xf numFmtId="43" fontId="44" fillId="11" borderId="21" xfId="1" applyFont="1" applyFill="1" applyBorder="1"/>
    <xf numFmtId="43" fontId="44" fillId="10" borderId="22" xfId="1" applyFont="1" applyFill="1" applyBorder="1"/>
    <xf numFmtId="44" fontId="43" fillId="12" borderId="22" xfId="1" applyNumberFormat="1" applyFont="1" applyFill="1" applyBorder="1"/>
    <xf numFmtId="43" fontId="43" fillId="10" borderId="21" xfId="1" applyFont="1" applyFill="1" applyBorder="1"/>
    <xf numFmtId="43" fontId="43" fillId="10" borderId="23" xfId="1" applyFont="1" applyFill="1" applyBorder="1"/>
    <xf numFmtId="44" fontId="43" fillId="10" borderId="22" xfId="1" applyNumberFormat="1" applyFont="1" applyFill="1" applyBorder="1"/>
    <xf numFmtId="43" fontId="5" fillId="0" borderId="0" xfId="1" applyFont="1" applyFill="1" applyBorder="1" applyAlignment="1">
      <alignment horizontal="center"/>
    </xf>
    <xf numFmtId="43" fontId="43" fillId="10" borderId="1" xfId="1" applyFont="1" applyFill="1" applyBorder="1"/>
    <xf numFmtId="43" fontId="43" fillId="10" borderId="0" xfId="1" applyFont="1" applyFill="1" applyBorder="1"/>
    <xf numFmtId="44" fontId="6" fillId="10" borderId="15" xfId="1" applyNumberFormat="1" applyFont="1" applyFill="1" applyBorder="1" applyAlignment="1">
      <alignment horizontal="center"/>
    </xf>
    <xf numFmtId="44" fontId="6" fillId="0" borderId="0" xfId="1" applyNumberFormat="1" applyFont="1" applyFill="1" applyBorder="1" applyAlignment="1">
      <alignment horizontal="center"/>
    </xf>
    <xf numFmtId="37" fontId="6" fillId="12" borderId="15" xfId="1" applyNumberFormat="1" applyFont="1" applyFill="1" applyBorder="1" applyAlignment="1">
      <alignment horizontal="center"/>
    </xf>
    <xf numFmtId="44" fontId="43" fillId="12" borderId="24" xfId="1" applyNumberFormat="1" applyFont="1" applyFill="1" applyBorder="1"/>
    <xf numFmtId="43" fontId="43" fillId="10" borderId="22" xfId="1" applyFont="1" applyFill="1" applyBorder="1"/>
    <xf numFmtId="44" fontId="43" fillId="10" borderId="25" xfId="1" applyNumberFormat="1" applyFont="1" applyFill="1" applyBorder="1"/>
    <xf numFmtId="43" fontId="5" fillId="0" borderId="0" xfId="1" applyFont="1" applyFill="1" applyBorder="1"/>
    <xf numFmtId="44" fontId="43" fillId="10" borderId="15" xfId="1" applyNumberFormat="1" applyFont="1" applyFill="1" applyBorder="1"/>
    <xf numFmtId="10" fontId="43" fillId="10" borderId="15" xfId="1" applyNumberFormat="1" applyFont="1" applyFill="1" applyBorder="1"/>
    <xf numFmtId="44" fontId="43" fillId="10" borderId="23" xfId="1" applyNumberFormat="1" applyFont="1" applyFill="1" applyBorder="1"/>
    <xf numFmtId="43" fontId="43" fillId="10" borderId="15" xfId="1" applyFont="1" applyFill="1" applyBorder="1" applyAlignment="1">
      <alignment horizontal="center"/>
    </xf>
    <xf numFmtId="43" fontId="44" fillId="10" borderId="0" xfId="1" applyFont="1" applyFill="1" applyBorder="1"/>
    <xf numFmtId="10" fontId="44" fillId="10" borderId="0" xfId="8" applyNumberFormat="1" applyFont="1" applyFill="1" applyBorder="1" applyAlignment="1">
      <alignment horizontal="right"/>
    </xf>
    <xf numFmtId="10" fontId="43" fillId="12" borderId="15" xfId="8" applyNumberFormat="1" applyFont="1" applyFill="1" applyBorder="1"/>
    <xf numFmtId="43" fontId="5" fillId="10" borderId="23" xfId="1" applyFont="1" applyFill="1" applyBorder="1" applyAlignment="1">
      <alignment horizontal="center"/>
    </xf>
    <xf numFmtId="0" fontId="0" fillId="10" borderId="23" xfId="0" applyFill="1" applyBorder="1"/>
    <xf numFmtId="10" fontId="5" fillId="10" borderId="23" xfId="8" applyNumberFormat="1" applyFont="1" applyFill="1" applyBorder="1"/>
    <xf numFmtId="0" fontId="5" fillId="10" borderId="22" xfId="0" applyFont="1" applyFill="1" applyBorder="1"/>
    <xf numFmtId="170" fontId="43" fillId="10" borderId="15" xfId="1" applyNumberFormat="1" applyFont="1" applyFill="1" applyBorder="1"/>
    <xf numFmtId="42" fontId="6" fillId="10" borderId="15" xfId="1" applyNumberFormat="1" applyFont="1" applyFill="1" applyBorder="1"/>
    <xf numFmtId="0" fontId="6" fillId="0" borderId="0" xfId="0" applyFont="1" applyAlignment="1">
      <alignment horizontal="left"/>
    </xf>
    <xf numFmtId="0" fontId="6" fillId="0" borderId="1" xfId="0" applyFont="1" applyBorder="1"/>
    <xf numFmtId="43" fontId="43" fillId="0" borderId="0" xfId="1" applyFont="1" applyFill="1" applyBorder="1" applyAlignment="1">
      <alignment horizontal="left"/>
    </xf>
    <xf numFmtId="0" fontId="0" fillId="0" borderId="26" xfId="0" applyBorder="1"/>
    <xf numFmtId="44" fontId="0" fillId="0" borderId="0" xfId="0" applyNumberFormat="1"/>
    <xf numFmtId="0" fontId="6" fillId="9" borderId="0" xfId="0" applyFont="1" applyFill="1"/>
    <xf numFmtId="0" fontId="5" fillId="0" borderId="20" xfId="0" applyFont="1" applyBorder="1"/>
    <xf numFmtId="3" fontId="8" fillId="0" borderId="20" xfId="0" applyNumberFormat="1" applyFont="1" applyBorder="1" applyAlignment="1">
      <alignment horizontal="left"/>
    </xf>
    <xf numFmtId="3" fontId="5" fillId="0" borderId="1" xfId="0" applyNumberFormat="1" applyFont="1" applyBorder="1" applyAlignment="1">
      <alignment horizontal="left"/>
    </xf>
    <xf numFmtId="0" fontId="5" fillId="0" borderId="27" xfId="0" applyFont="1" applyBorder="1"/>
    <xf numFmtId="0" fontId="5" fillId="0" borderId="10" xfId="0" applyFont="1" applyBorder="1"/>
    <xf numFmtId="0" fontId="5" fillId="0" borderId="26" xfId="0" applyFont="1" applyBorder="1"/>
    <xf numFmtId="3" fontId="30" fillId="0" borderId="19" xfId="0" applyNumberFormat="1" applyFont="1" applyBorder="1" applyAlignment="1">
      <alignment horizontal="left"/>
    </xf>
    <xf numFmtId="0" fontId="8" fillId="0" borderId="19" xfId="0" applyFont="1" applyBorder="1"/>
    <xf numFmtId="0" fontId="8" fillId="0" borderId="14" xfId="0" applyFont="1" applyBorder="1"/>
    <xf numFmtId="0" fontId="5" fillId="0" borderId="14" xfId="0" applyFont="1" applyBorder="1"/>
    <xf numFmtId="0" fontId="5" fillId="0" borderId="18" xfId="0" applyFont="1" applyBorder="1"/>
    <xf numFmtId="0" fontId="6" fillId="9" borderId="15" xfId="0" applyFont="1" applyFill="1" applyBorder="1" applyAlignment="1">
      <alignment horizontal="center"/>
    </xf>
    <xf numFmtId="3" fontId="45" fillId="0" borderId="0" xfId="0" applyNumberFormat="1" applyFont="1"/>
    <xf numFmtId="0" fontId="46" fillId="0" borderId="0" xfId="0" applyFont="1"/>
    <xf numFmtId="3" fontId="47" fillId="0" borderId="0" xfId="0" applyNumberFormat="1" applyFont="1" applyAlignment="1">
      <alignment horizontal="left"/>
    </xf>
    <xf numFmtId="3" fontId="44" fillId="0" borderId="0" xfId="0" applyNumberFormat="1" applyFont="1"/>
    <xf numFmtId="3" fontId="46" fillId="0" borderId="0" xfId="0" applyNumberFormat="1" applyFont="1"/>
    <xf numFmtId="10" fontId="44" fillId="0" borderId="0" xfId="0" applyNumberFormat="1" applyFont="1"/>
    <xf numFmtId="0" fontId="2" fillId="10" borderId="37" xfId="0" applyFont="1" applyFill="1" applyBorder="1" applyAlignment="1">
      <alignment vertical="center" wrapText="1"/>
    </xf>
    <xf numFmtId="0" fontId="2" fillId="0" borderId="0" xfId="5"/>
    <xf numFmtId="14" fontId="2" fillId="0" borderId="0" xfId="5" applyNumberFormat="1"/>
    <xf numFmtId="0" fontId="2" fillId="0" borderId="0" xfId="5" applyAlignment="1">
      <alignment horizontal="center"/>
    </xf>
    <xf numFmtId="14" fontId="19" fillId="5" borderId="0" xfId="5" applyNumberFormat="1" applyFont="1" applyFill="1"/>
    <xf numFmtId="0" fontId="2" fillId="0" borderId="0" xfId="5" applyAlignment="1">
      <alignment horizontal="right"/>
    </xf>
    <xf numFmtId="43" fontId="2" fillId="0" borderId="0" xfId="2" applyFont="1"/>
    <xf numFmtId="43" fontId="2" fillId="0" borderId="0" xfId="5" applyNumberFormat="1"/>
    <xf numFmtId="164" fontId="2" fillId="0" borderId="0" xfId="9" applyNumberFormat="1" applyFont="1"/>
    <xf numFmtId="14" fontId="2" fillId="0" borderId="20" xfId="5" applyNumberFormat="1" applyBorder="1"/>
    <xf numFmtId="0" fontId="48" fillId="13" borderId="15" xfId="0" applyFont="1" applyFill="1" applyBorder="1" applyAlignment="1" applyProtection="1">
      <alignment horizontal="center"/>
      <protection locked="0"/>
    </xf>
    <xf numFmtId="0" fontId="15" fillId="11" borderId="23" xfId="0" applyFont="1" applyFill="1" applyBorder="1" applyProtection="1">
      <protection locked="0"/>
    </xf>
    <xf numFmtId="0" fontId="16" fillId="11" borderId="23" xfId="0" applyFont="1" applyFill="1" applyBorder="1" applyProtection="1">
      <protection locked="0"/>
    </xf>
    <xf numFmtId="0" fontId="5" fillId="11" borderId="22" xfId="0" applyFont="1" applyFill="1" applyBorder="1" applyProtection="1">
      <protection locked="0"/>
    </xf>
    <xf numFmtId="0" fontId="48" fillId="0" borderId="0" xfId="0" applyFont="1" applyAlignment="1" applyProtection="1">
      <alignment horizontal="center"/>
      <protection locked="0"/>
    </xf>
    <xf numFmtId="0" fontId="49" fillId="10" borderId="0" xfId="0" applyFont="1" applyFill="1" applyAlignment="1" applyProtection="1">
      <alignment vertical="center"/>
      <protection locked="0"/>
    </xf>
    <xf numFmtId="0" fontId="16" fillId="10" borderId="0" xfId="0" applyFont="1" applyFill="1" applyProtection="1">
      <protection locked="0"/>
    </xf>
    <xf numFmtId="0" fontId="5" fillId="10" borderId="0" xfId="0" applyFont="1" applyFill="1" applyProtection="1">
      <protection locked="0"/>
    </xf>
    <xf numFmtId="0" fontId="5" fillId="0" borderId="0" xfId="0" applyFont="1" applyProtection="1">
      <protection locked="0"/>
    </xf>
    <xf numFmtId="0" fontId="6" fillId="10" borderId="0" xfId="0" applyFont="1" applyFill="1" applyAlignment="1" applyProtection="1">
      <alignment horizontal="right"/>
      <protection locked="0"/>
    </xf>
    <xf numFmtId="0" fontId="6" fillId="6" borderId="0" xfId="0" applyFont="1" applyFill="1" applyProtection="1">
      <protection locked="0"/>
    </xf>
    <xf numFmtId="0" fontId="50" fillId="0" borderId="0" xfId="0" applyFont="1" applyAlignment="1" applyProtection="1">
      <alignment horizontal="left"/>
      <protection locked="0"/>
    </xf>
    <xf numFmtId="0" fontId="6" fillId="0" borderId="0" xfId="0" applyFont="1" applyProtection="1">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protection locked="0"/>
    </xf>
    <xf numFmtId="165" fontId="5" fillId="10" borderId="0" xfId="0" applyNumberFormat="1" applyFont="1" applyFill="1" applyProtection="1">
      <protection locked="0"/>
    </xf>
    <xf numFmtId="0" fontId="5" fillId="0" borderId="1" xfId="0" applyFont="1" applyBorder="1" applyProtection="1">
      <protection locked="0"/>
    </xf>
    <xf numFmtId="3" fontId="10" fillId="0" borderId="0" xfId="0" applyNumberFormat="1" applyFont="1" applyProtection="1">
      <protection locked="0"/>
    </xf>
    <xf numFmtId="0" fontId="5" fillId="0" borderId="0" xfId="0" applyFont="1" applyAlignment="1" applyProtection="1">
      <alignment horizontal="center"/>
      <protection locked="0"/>
    </xf>
    <xf numFmtId="3" fontId="5" fillId="0" borderId="0" xfId="0" applyNumberFormat="1" applyFont="1" applyAlignment="1" applyProtection="1">
      <alignment horizontal="center"/>
      <protection locked="0"/>
    </xf>
    <xf numFmtId="3" fontId="5" fillId="0" borderId="0" xfId="0" quotePrefix="1" applyNumberFormat="1" applyFont="1" applyAlignment="1" applyProtection="1">
      <alignment horizontal="center"/>
      <protection locked="0"/>
    </xf>
    <xf numFmtId="3" fontId="5" fillId="0" borderId="0" xfId="0" applyNumberFormat="1" applyFont="1" applyProtection="1">
      <protection locked="0"/>
    </xf>
    <xf numFmtId="3" fontId="5" fillId="0" borderId="1" xfId="0" applyNumberFormat="1" applyFont="1" applyBorder="1" applyProtection="1">
      <protection locked="0"/>
    </xf>
    <xf numFmtId="41" fontId="5" fillId="0" borderId="0" xfId="0" applyNumberFormat="1" applyFont="1" applyProtection="1">
      <protection locked="0"/>
    </xf>
    <xf numFmtId="2" fontId="5" fillId="0" borderId="0" xfId="0"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169" fontId="5" fillId="0" borderId="1" xfId="1" applyNumberFormat="1" applyFont="1" applyBorder="1" applyProtection="1">
      <protection locked="0"/>
    </xf>
    <xf numFmtId="0" fontId="5" fillId="0" borderId="0" xfId="0" applyFont="1" applyAlignment="1" applyProtection="1">
      <alignment horizontal="left"/>
      <protection locked="0"/>
    </xf>
    <xf numFmtId="169" fontId="5" fillId="0" borderId="0" xfId="1" applyNumberFormat="1" applyFont="1" applyProtection="1">
      <protection locked="0"/>
    </xf>
    <xf numFmtId="3" fontId="6" fillId="0" borderId="0" xfId="0" applyNumberFormat="1" applyFont="1" applyProtection="1">
      <protection locked="0"/>
    </xf>
    <xf numFmtId="41" fontId="5" fillId="2" borderId="0" xfId="0" applyNumberFormat="1" applyFont="1" applyFill="1" applyProtection="1">
      <protection locked="0"/>
    </xf>
    <xf numFmtId="2" fontId="5" fillId="2" borderId="0" xfId="0" applyNumberFormat="1" applyFont="1" applyFill="1" applyProtection="1">
      <protection locked="0"/>
    </xf>
    <xf numFmtId="169" fontId="5" fillId="2" borderId="0" xfId="1" applyNumberFormat="1" applyFont="1" applyFill="1" applyProtection="1">
      <protection locked="0"/>
    </xf>
    <xf numFmtId="169" fontId="5" fillId="2" borderId="1" xfId="1" applyNumberFormat="1" applyFont="1" applyFill="1" applyBorder="1" applyProtection="1">
      <protection locked="0"/>
    </xf>
    <xf numFmtId="1" fontId="5" fillId="0" borderId="0" xfId="0" applyNumberFormat="1" applyFont="1" applyProtection="1">
      <protection locked="0"/>
    </xf>
    <xf numFmtId="169" fontId="5" fillId="0" borderId="0" xfId="1" applyNumberFormat="1" applyFont="1" applyBorder="1" applyProtection="1">
      <protection locked="0"/>
    </xf>
    <xf numFmtId="41" fontId="17" fillId="10" borderId="0" xfId="0" quotePrefix="1" applyNumberFormat="1" applyFont="1" applyFill="1" applyProtection="1">
      <protection locked="0"/>
    </xf>
    <xf numFmtId="0" fontId="51" fillId="0" borderId="0" xfId="0" applyFont="1" applyAlignment="1" applyProtection="1">
      <alignment horizontal="center"/>
      <protection locked="0"/>
    </xf>
    <xf numFmtId="41" fontId="5" fillId="0" borderId="0" xfId="0" applyNumberFormat="1" applyFont="1" applyAlignment="1" applyProtection="1">
      <alignment horizontal="right"/>
      <protection locked="0"/>
    </xf>
    <xf numFmtId="0" fontId="5" fillId="0" borderId="0" xfId="0" applyFont="1" applyAlignment="1" applyProtection="1">
      <alignment horizontal="right"/>
      <protection locked="0"/>
    </xf>
    <xf numFmtId="3" fontId="5" fillId="4" borderId="15" xfId="0" applyNumberFormat="1" applyFont="1" applyFill="1" applyBorder="1" applyAlignment="1" applyProtection="1">
      <alignment horizontal="center"/>
      <protection locked="0"/>
    </xf>
    <xf numFmtId="3" fontId="8" fillId="0" borderId="0" xfId="0" applyNumberFormat="1" applyFont="1" applyAlignment="1" applyProtection="1">
      <alignment horizontal="center"/>
      <protection locked="0"/>
    </xf>
    <xf numFmtId="3" fontId="30" fillId="0" borderId="23" xfId="0" applyNumberFormat="1" applyFont="1" applyBorder="1" applyProtection="1">
      <protection locked="0"/>
    </xf>
    <xf numFmtId="3" fontId="30" fillId="0" borderId="23" xfId="0" applyNumberFormat="1" applyFont="1" applyBorder="1" applyAlignment="1" applyProtection="1">
      <alignment horizontal="right"/>
      <protection locked="0"/>
    </xf>
    <xf numFmtId="169" fontId="6" fillId="0" borderId="23" xfId="1" applyNumberFormat="1" applyFont="1" applyBorder="1" applyProtection="1">
      <protection locked="0"/>
    </xf>
    <xf numFmtId="169" fontId="6" fillId="0" borderId="21" xfId="1" applyNumberFormat="1" applyFont="1" applyBorder="1" applyProtection="1">
      <protection locked="0"/>
    </xf>
    <xf numFmtId="9" fontId="5" fillId="0" borderId="0" xfId="0" applyNumberFormat="1" applyFont="1" applyProtection="1">
      <protection locked="0"/>
    </xf>
    <xf numFmtId="3" fontId="5" fillId="0" borderId="0" xfId="0" applyNumberFormat="1" applyFont="1" applyAlignment="1" applyProtection="1">
      <alignment horizontal="left"/>
      <protection locked="0"/>
    </xf>
    <xf numFmtId="41" fontId="11" fillId="0" borderId="0" xfId="0" applyNumberFormat="1" applyFont="1" applyAlignment="1" applyProtection="1">
      <alignment horizontal="right"/>
      <protection locked="0"/>
    </xf>
    <xf numFmtId="169" fontId="5" fillId="0" borderId="0" xfId="1" applyNumberFormat="1" applyFont="1" applyFill="1" applyBorder="1" applyProtection="1">
      <protection locked="0"/>
    </xf>
    <xf numFmtId="41" fontId="5" fillId="10" borderId="0" xfId="0" applyNumberFormat="1" applyFont="1" applyFill="1" applyProtection="1">
      <protection locked="0"/>
    </xf>
    <xf numFmtId="169" fontId="5" fillId="10" borderId="0" xfId="1" applyNumberFormat="1" applyFont="1" applyFill="1" applyBorder="1" applyProtection="1">
      <protection locked="0"/>
    </xf>
    <xf numFmtId="3" fontId="5" fillId="0" borderId="0" xfId="0" applyNumberFormat="1" applyFont="1" applyAlignment="1" applyProtection="1">
      <alignment horizontal="right"/>
      <protection locked="0"/>
    </xf>
    <xf numFmtId="169" fontId="5" fillId="0" borderId="10" xfId="1" applyNumberFormat="1" applyFont="1" applyBorder="1" applyProtection="1">
      <protection locked="0"/>
    </xf>
    <xf numFmtId="169" fontId="5" fillId="0" borderId="27" xfId="1" applyNumberFormat="1" applyFont="1" applyBorder="1" applyProtection="1">
      <protection locked="0"/>
    </xf>
    <xf numFmtId="3" fontId="8" fillId="0" borderId="0" xfId="0" applyNumberFormat="1" applyFont="1" applyProtection="1">
      <protection locked="0"/>
    </xf>
    <xf numFmtId="41" fontId="6" fillId="0" borderId="23" xfId="0" applyNumberFormat="1" applyFont="1" applyBorder="1" applyProtection="1">
      <protection locked="0"/>
    </xf>
    <xf numFmtId="3" fontId="6" fillId="0" borderId="0" xfId="0" applyNumberFormat="1" applyFont="1" applyAlignment="1" applyProtection="1">
      <alignment horizontal="right"/>
      <protection locked="0"/>
    </xf>
    <xf numFmtId="9" fontId="6" fillId="0" borderId="0" xfId="0" applyNumberFormat="1" applyFont="1" applyProtection="1">
      <protection locked="0"/>
    </xf>
    <xf numFmtId="169" fontId="6" fillId="0" borderId="0" xfId="1" applyNumberFormat="1" applyFont="1" applyProtection="1">
      <protection locked="0"/>
    </xf>
    <xf numFmtId="3" fontId="6" fillId="5" borderId="0" xfId="0" applyNumberFormat="1" applyFont="1" applyFill="1" applyAlignment="1" applyProtection="1">
      <alignment horizontal="right"/>
      <protection locked="0"/>
    </xf>
    <xf numFmtId="3" fontId="6" fillId="5" borderId="0" xfId="0" applyNumberFormat="1" applyFont="1" applyFill="1" applyProtection="1">
      <protection locked="0"/>
    </xf>
    <xf numFmtId="169" fontId="6" fillId="5" borderId="0" xfId="1" applyNumberFormat="1" applyFont="1" applyFill="1" applyProtection="1">
      <protection locked="0"/>
    </xf>
    <xf numFmtId="169" fontId="6" fillId="5" borderId="1" xfId="1" applyNumberFormat="1" applyFont="1" applyFill="1" applyBorder="1" applyProtection="1">
      <protection locked="0"/>
    </xf>
    <xf numFmtId="169" fontId="6" fillId="0" borderId="0" xfId="1" applyNumberFormat="1" applyFont="1" applyFill="1" applyProtection="1">
      <protection locked="0"/>
    </xf>
    <xf numFmtId="169" fontId="6" fillId="0" borderId="1" xfId="1" applyNumberFormat="1" applyFont="1" applyFill="1" applyBorder="1" applyProtection="1">
      <protection locked="0"/>
    </xf>
    <xf numFmtId="3" fontId="6" fillId="0" borderId="0" xfId="0" applyNumberFormat="1" applyFont="1" applyAlignment="1" applyProtection="1">
      <alignment horizontal="left"/>
      <protection locked="0"/>
    </xf>
    <xf numFmtId="3" fontId="30" fillId="0" borderId="0" xfId="0" applyNumberFormat="1" applyFont="1" applyAlignment="1" applyProtection="1">
      <alignment horizontal="right"/>
      <protection locked="0"/>
    </xf>
    <xf numFmtId="169" fontId="6" fillId="0" borderId="14" xfId="1" applyNumberFormat="1" applyFont="1" applyBorder="1" applyProtection="1">
      <protection locked="0"/>
    </xf>
    <xf numFmtId="169" fontId="6" fillId="0" borderId="18" xfId="1" applyNumberFormat="1" applyFont="1" applyBorder="1" applyProtection="1">
      <protection locked="0"/>
    </xf>
    <xf numFmtId="169" fontId="6" fillId="0" borderId="19" xfId="1" applyNumberFormat="1" applyFont="1" applyBorder="1" applyProtection="1">
      <protection locked="0"/>
    </xf>
    <xf numFmtId="169" fontId="6" fillId="0" borderId="1" xfId="1" applyNumberFormat="1" applyFont="1" applyBorder="1" applyProtection="1">
      <protection locked="0"/>
    </xf>
    <xf numFmtId="3" fontId="8" fillId="0" borderId="0" xfId="0" applyNumberFormat="1" applyFont="1" applyAlignment="1" applyProtection="1">
      <alignment horizontal="left"/>
      <protection locked="0"/>
    </xf>
    <xf numFmtId="3" fontId="5" fillId="10" borderId="0" xfId="0" applyNumberFormat="1" applyFont="1" applyFill="1" applyAlignment="1" applyProtection="1">
      <alignment horizontal="left"/>
      <protection locked="0"/>
    </xf>
    <xf numFmtId="3" fontId="8" fillId="10" borderId="0" xfId="0" applyNumberFormat="1" applyFont="1" applyFill="1" applyAlignment="1" applyProtection="1">
      <alignment horizontal="right"/>
      <protection locked="0"/>
    </xf>
    <xf numFmtId="169" fontId="5" fillId="10" borderId="1" xfId="1" applyNumberFormat="1" applyFont="1" applyFill="1" applyBorder="1" applyProtection="1">
      <protection locked="0"/>
    </xf>
    <xf numFmtId="3" fontId="5" fillId="0" borderId="3" xfId="0" applyNumberFormat="1" applyFont="1" applyBorder="1" applyAlignment="1" applyProtection="1">
      <alignment horizontal="left"/>
      <protection locked="0"/>
    </xf>
    <xf numFmtId="3" fontId="5" fillId="0" borderId="3" xfId="0" applyNumberFormat="1" applyFont="1" applyBorder="1" applyProtection="1">
      <protection locked="0"/>
    </xf>
    <xf numFmtId="169" fontId="5" fillId="0" borderId="3" xfId="1" applyNumberFormat="1" applyFont="1" applyFill="1" applyBorder="1" applyProtection="1">
      <protection locked="0"/>
    </xf>
    <xf numFmtId="169" fontId="5" fillId="0" borderId="28" xfId="1" applyNumberFormat="1" applyFont="1" applyFill="1" applyBorder="1" applyProtection="1">
      <protection locked="0"/>
    </xf>
    <xf numFmtId="0" fontId="8" fillId="0" borderId="3" xfId="0" applyFont="1" applyBorder="1" applyProtection="1">
      <protection locked="0"/>
    </xf>
    <xf numFmtId="0" fontId="8" fillId="0" borderId="3" xfId="0" applyFont="1" applyBorder="1" applyAlignment="1" applyProtection="1">
      <alignment horizontal="right"/>
      <protection locked="0"/>
    </xf>
    <xf numFmtId="169" fontId="5" fillId="0" borderId="3" xfId="1" applyNumberFormat="1" applyFont="1" applyBorder="1" applyProtection="1">
      <protection locked="0"/>
    </xf>
    <xf numFmtId="169" fontId="6" fillId="0" borderId="28" xfId="1" applyNumberFormat="1" applyFont="1" applyBorder="1" applyProtection="1">
      <protection locked="0"/>
    </xf>
    <xf numFmtId="0" fontId="8" fillId="0" borderId="0" xfId="0" applyFont="1" applyProtection="1">
      <protection locked="0"/>
    </xf>
    <xf numFmtId="0" fontId="8" fillId="0" borderId="0" xfId="0" applyFont="1" applyAlignment="1" applyProtection="1">
      <alignment horizontal="right"/>
      <protection locked="0"/>
    </xf>
    <xf numFmtId="169" fontId="6" fillId="0" borderId="27" xfId="1" applyNumberFormat="1" applyFont="1" applyBorder="1" applyProtection="1">
      <protection locked="0"/>
    </xf>
    <xf numFmtId="0" fontId="8" fillId="10" borderId="0" xfId="0" applyFont="1" applyFill="1" applyProtection="1">
      <protection locked="0"/>
    </xf>
    <xf numFmtId="169" fontId="5" fillId="10" borderId="14" xfId="1" applyNumberFormat="1" applyFont="1" applyFill="1" applyBorder="1" applyProtection="1">
      <protection locked="0"/>
    </xf>
    <xf numFmtId="169" fontId="6" fillId="10" borderId="19" xfId="1" applyNumberFormat="1" applyFont="1" applyFill="1" applyBorder="1" applyProtection="1">
      <protection locked="0"/>
    </xf>
    <xf numFmtId="0" fontId="30" fillId="0" borderId="0" xfId="0" applyFont="1" applyAlignment="1" applyProtection="1">
      <alignment horizontal="right"/>
      <protection locked="0"/>
    </xf>
    <xf numFmtId="3" fontId="30" fillId="0" borderId="0" xfId="0" applyNumberFormat="1" applyFont="1" applyAlignment="1" applyProtection="1">
      <alignment horizontal="left"/>
      <protection locked="0"/>
    </xf>
    <xf numFmtId="3" fontId="30" fillId="0" borderId="0" xfId="0" applyNumberFormat="1" applyFont="1" applyProtection="1">
      <protection locked="0"/>
    </xf>
    <xf numFmtId="41" fontId="6" fillId="0" borderId="0" xfId="0" applyNumberFormat="1" applyFont="1" applyProtection="1">
      <protection locked="0"/>
    </xf>
    <xf numFmtId="41" fontId="6" fillId="0" borderId="1" xfId="0" applyNumberFormat="1" applyFont="1" applyBorder="1" applyProtection="1">
      <protection locked="0"/>
    </xf>
    <xf numFmtId="0" fontId="6" fillId="11" borderId="0" xfId="0" applyFont="1" applyFill="1" applyProtection="1">
      <protection locked="0"/>
    </xf>
    <xf numFmtId="3" fontId="5" fillId="11" borderId="0" xfId="0" applyNumberFormat="1" applyFont="1" applyFill="1" applyProtection="1">
      <protection locked="0"/>
    </xf>
    <xf numFmtId="164" fontId="5" fillId="11" borderId="0" xfId="0" applyNumberFormat="1" applyFont="1" applyFill="1" applyProtection="1">
      <protection locked="0"/>
    </xf>
    <xf numFmtId="0" fontId="5" fillId="11" borderId="0" xfId="0" applyFont="1" applyFill="1" applyProtection="1">
      <protection locked="0"/>
    </xf>
    <xf numFmtId="41" fontId="5" fillId="11" borderId="27" xfId="0" applyNumberFormat="1" applyFont="1" applyFill="1" applyBorder="1" applyProtection="1">
      <protection locked="0"/>
    </xf>
    <xf numFmtId="41" fontId="5" fillId="0" borderId="14" xfId="0" applyNumberFormat="1" applyFont="1" applyBorder="1" applyProtection="1">
      <protection locked="0"/>
    </xf>
    <xf numFmtId="41" fontId="6" fillId="0" borderId="14" xfId="0" applyNumberFormat="1" applyFont="1" applyBorder="1" applyProtection="1">
      <protection locked="0"/>
    </xf>
    <xf numFmtId="41" fontId="5" fillId="0" borderId="19" xfId="0" applyNumberFormat="1" applyFont="1" applyBorder="1" applyProtection="1">
      <protection locked="0"/>
    </xf>
    <xf numFmtId="3" fontId="6" fillId="14" borderId="0" xfId="0" applyNumberFormat="1" applyFont="1" applyFill="1" applyAlignment="1" applyProtection="1">
      <alignment horizontal="right"/>
      <protection locked="0"/>
    </xf>
    <xf numFmtId="3" fontId="5" fillId="14" borderId="0" xfId="0" applyNumberFormat="1" applyFont="1" applyFill="1" applyProtection="1">
      <protection locked="0"/>
    </xf>
    <xf numFmtId="0" fontId="5" fillId="14" borderId="0" xfId="0" applyFont="1" applyFill="1" applyProtection="1">
      <protection locked="0"/>
    </xf>
    <xf numFmtId="10" fontId="6" fillId="14" borderId="15" xfId="8" applyNumberFormat="1" applyFont="1" applyFill="1" applyBorder="1" applyProtection="1">
      <protection locked="0"/>
    </xf>
    <xf numFmtId="41" fontId="6" fillId="14" borderId="1" xfId="0" applyNumberFormat="1" applyFont="1" applyFill="1" applyBorder="1" applyProtection="1">
      <protection locked="0"/>
    </xf>
    <xf numFmtId="41" fontId="6" fillId="0" borderId="10" xfId="0" applyNumberFormat="1" applyFont="1" applyBorder="1" applyProtection="1">
      <protection locked="0"/>
    </xf>
    <xf numFmtId="41" fontId="6" fillId="0" borderId="27" xfId="0" applyNumberFormat="1" applyFont="1" applyBorder="1" applyProtection="1">
      <protection locked="0"/>
    </xf>
    <xf numFmtId="41" fontId="6" fillId="0" borderId="29" xfId="0" applyNumberFormat="1" applyFont="1" applyBorder="1" applyProtection="1">
      <protection locked="0"/>
    </xf>
    <xf numFmtId="41" fontId="6" fillId="0" borderId="30" xfId="0" applyNumberFormat="1" applyFont="1" applyBorder="1" applyProtection="1">
      <protection locked="0"/>
    </xf>
    <xf numFmtId="3" fontId="50" fillId="0" borderId="0" xfId="0" applyNumberFormat="1" applyFont="1" applyProtection="1">
      <protection locked="0"/>
    </xf>
    <xf numFmtId="3" fontId="50" fillId="0" borderId="31" xfId="0" applyNumberFormat="1" applyFont="1" applyBorder="1" applyProtection="1">
      <protection locked="0"/>
    </xf>
    <xf numFmtId="0" fontId="50" fillId="0" borderId="31" xfId="0" applyFont="1" applyBorder="1" applyProtection="1">
      <protection locked="0"/>
    </xf>
    <xf numFmtId="164" fontId="5" fillId="11" borderId="10" xfId="0" applyNumberFormat="1" applyFont="1" applyFill="1" applyBorder="1"/>
    <xf numFmtId="0" fontId="19" fillId="0" borderId="32" xfId="5" applyFont="1" applyBorder="1" applyAlignment="1">
      <alignment horizontal="center"/>
    </xf>
    <xf numFmtId="0" fontId="19" fillId="0" borderId="32" xfId="5" applyFont="1" applyBorder="1" applyAlignment="1">
      <alignment wrapText="1"/>
    </xf>
    <xf numFmtId="171" fontId="2" fillId="0" borderId="32" xfId="2" applyNumberFormat="1" applyFont="1" applyBorder="1"/>
    <xf numFmtId="0" fontId="5" fillId="0" borderId="0" xfId="8" applyNumberFormat="1" applyFont="1" applyAlignment="1">
      <alignment horizontal="right"/>
    </xf>
    <xf numFmtId="164" fontId="5" fillId="0" borderId="0" xfId="0" applyNumberFormat="1" applyFont="1"/>
    <xf numFmtId="164" fontId="5" fillId="0" borderId="14" xfId="0" applyNumberFormat="1" applyFont="1" applyBorder="1"/>
    <xf numFmtId="164" fontId="5" fillId="0" borderId="10" xfId="0" applyNumberFormat="1" applyFont="1" applyBorder="1"/>
    <xf numFmtId="165" fontId="5" fillId="0" borderId="0" xfId="0" applyNumberFormat="1" applyFont="1" applyProtection="1">
      <protection locked="0"/>
    </xf>
    <xf numFmtId="0" fontId="5" fillId="0" borderId="19" xfId="0" applyFont="1" applyBorder="1"/>
    <xf numFmtId="0" fontId="6" fillId="10" borderId="0" xfId="0" applyFont="1" applyFill="1" applyAlignment="1">
      <alignment horizontal="center"/>
    </xf>
    <xf numFmtId="0" fontId="5" fillId="10" borderId="0" xfId="0" applyFont="1" applyFill="1" applyAlignment="1">
      <alignment horizontal="center"/>
    </xf>
    <xf numFmtId="0" fontId="5" fillId="0" borderId="0" xfId="4" applyFont="1"/>
    <xf numFmtId="0" fontId="2" fillId="10" borderId="38" xfId="0" applyFont="1" applyFill="1" applyBorder="1" applyAlignment="1">
      <alignment vertical="center" wrapText="1"/>
    </xf>
    <xf numFmtId="42" fontId="44" fillId="0" borderId="0" xfId="0" applyNumberFormat="1" applyFont="1"/>
    <xf numFmtId="0" fontId="5" fillId="0" borderId="0" xfId="0" quotePrefix="1" applyFont="1"/>
    <xf numFmtId="0" fontId="30" fillId="0" borderId="1" xfId="0" applyFont="1" applyBorder="1"/>
    <xf numFmtId="0" fontId="52" fillId="10" borderId="15" xfId="0" applyFont="1" applyFill="1" applyBorder="1" applyAlignment="1">
      <alignment horizontal="left" vertical="top" wrapText="1"/>
    </xf>
    <xf numFmtId="0" fontId="53" fillId="0" borderId="0" xfId="4" applyFont="1"/>
    <xf numFmtId="49" fontId="5" fillId="0" borderId="0" xfId="4" applyNumberFormat="1" applyFont="1"/>
    <xf numFmtId="164" fontId="5" fillId="0" borderId="0" xfId="8" applyNumberFormat="1" applyFont="1"/>
    <xf numFmtId="169" fontId="5" fillId="0" borderId="0" xfId="0" applyNumberFormat="1" applyFont="1"/>
    <xf numFmtId="0" fontId="5" fillId="0" borderId="0" xfId="0" applyFont="1" applyAlignment="1">
      <alignment horizontal="right"/>
    </xf>
    <xf numFmtId="41" fontId="5" fillId="0" borderId="0" xfId="0" applyNumberFormat="1" applyFont="1" applyAlignment="1">
      <alignment horizontal="right"/>
    </xf>
    <xf numFmtId="0" fontId="54" fillId="0" borderId="39" xfId="6" applyFont="1" applyBorder="1" applyAlignment="1">
      <alignment vertical="center" wrapText="1"/>
    </xf>
    <xf numFmtId="0" fontId="55" fillId="9" borderId="40" xfId="6" applyFont="1" applyFill="1" applyBorder="1" applyAlignment="1">
      <alignment horizontal="center" vertical="center" wrapText="1"/>
    </xf>
    <xf numFmtId="0" fontId="54" fillId="9" borderId="39" xfId="6" applyFont="1" applyFill="1" applyBorder="1" applyAlignment="1">
      <alignment vertical="center" wrapText="1"/>
    </xf>
    <xf numFmtId="10" fontId="54" fillId="9" borderId="41" xfId="8" applyNumberFormat="1" applyFont="1" applyFill="1" applyBorder="1" applyAlignment="1">
      <alignment horizontal="center" vertical="center" wrapText="1"/>
    </xf>
    <xf numFmtId="0" fontId="5" fillId="0" borderId="0" xfId="4" applyFont="1" applyAlignment="1">
      <alignment horizontal="center"/>
    </xf>
    <xf numFmtId="10" fontId="53" fillId="0" borderId="0" xfId="4" applyNumberFormat="1" applyFont="1"/>
    <xf numFmtId="3" fontId="5" fillId="0" borderId="10" xfId="0" applyNumberFormat="1" applyFont="1" applyBorder="1" applyProtection="1">
      <protection locked="0"/>
    </xf>
    <xf numFmtId="3" fontId="5" fillId="0" borderId="10" xfId="0" applyNumberFormat="1" applyFont="1" applyBorder="1" applyAlignment="1" applyProtection="1">
      <alignment horizontal="right"/>
      <protection locked="0"/>
    </xf>
    <xf numFmtId="164" fontId="5" fillId="0" borderId="0" xfId="8" applyNumberFormat="1" applyFont="1" applyFill="1"/>
    <xf numFmtId="169" fontId="5" fillId="0" borderId="27" xfId="1" applyNumberFormat="1" applyFont="1" applyFill="1" applyBorder="1" applyProtection="1">
      <protection locked="0"/>
    </xf>
    <xf numFmtId="0" fontId="5" fillId="10" borderId="0" xfId="0" applyFont="1" applyFill="1" applyAlignment="1">
      <alignment horizontal="left"/>
    </xf>
    <xf numFmtId="10" fontId="5" fillId="0" borderId="0" xfId="4" applyNumberFormat="1" applyFont="1"/>
    <xf numFmtId="165" fontId="5" fillId="15" borderId="0" xfId="0" applyNumberFormat="1" applyFont="1" applyFill="1" applyProtection="1">
      <protection locked="0"/>
    </xf>
    <xf numFmtId="0" fontId="31" fillId="0" borderId="0" xfId="0" applyFont="1"/>
    <xf numFmtId="167" fontId="6" fillId="10" borderId="15" xfId="0" applyNumberFormat="1" applyFont="1" applyFill="1" applyBorder="1"/>
    <xf numFmtId="0" fontId="10" fillId="0" borderId="0" xfId="0" applyFont="1"/>
    <xf numFmtId="0" fontId="56" fillId="0" borderId="0" xfId="6" applyFont="1"/>
    <xf numFmtId="0" fontId="55" fillId="0" borderId="40" xfId="6" applyFont="1" applyBorder="1" applyAlignment="1">
      <alignment horizontal="center" vertical="center" wrapText="1"/>
    </xf>
    <xf numFmtId="164" fontId="52" fillId="0" borderId="0" xfId="0" applyNumberFormat="1" applyFont="1"/>
    <xf numFmtId="0" fontId="55" fillId="0" borderId="42" xfId="6" applyFont="1" applyBorder="1" applyAlignment="1">
      <alignment horizontal="center" vertical="center" wrapText="1"/>
    </xf>
    <xf numFmtId="0" fontId="54" fillId="0" borderId="43" xfId="0" applyFont="1" applyBorder="1" applyAlignment="1">
      <alignment vertical="center" wrapText="1"/>
    </xf>
    <xf numFmtId="0" fontId="55" fillId="9" borderId="42" xfId="6" applyFont="1" applyFill="1" applyBorder="1" applyAlignment="1">
      <alignment horizontal="center" vertical="center" wrapText="1"/>
    </xf>
    <xf numFmtId="10" fontId="54" fillId="9" borderId="42" xfId="8" applyNumberFormat="1" applyFont="1" applyFill="1" applyBorder="1" applyAlignment="1">
      <alignment horizontal="center" vertical="center" wrapText="1"/>
    </xf>
    <xf numFmtId="167" fontId="0" fillId="0" borderId="0" xfId="0" applyNumberFormat="1"/>
    <xf numFmtId="164" fontId="5" fillId="0" borderId="0" xfId="4" applyNumberFormat="1" applyFont="1"/>
    <xf numFmtId="164" fontId="5" fillId="0" borderId="0" xfId="0" applyNumberFormat="1" applyFont="1" applyAlignment="1">
      <alignment horizontal="center"/>
    </xf>
    <xf numFmtId="0" fontId="6" fillId="0" borderId="0" xfId="4" applyFont="1"/>
    <xf numFmtId="164" fontId="6" fillId="0" borderId="0" xfId="0" applyNumberFormat="1" applyFont="1"/>
    <xf numFmtId="0" fontId="50" fillId="0" borderId="0" xfId="4" applyFont="1"/>
    <xf numFmtId="0" fontId="3" fillId="9" borderId="0" xfId="3" applyFill="1" applyBorder="1" applyAlignment="1" applyProtection="1"/>
    <xf numFmtId="14" fontId="35" fillId="16" borderId="33" xfId="0" quotePrefix="1" applyNumberFormat="1" applyFont="1" applyFill="1" applyBorder="1" applyAlignment="1">
      <alignment horizontal="center"/>
    </xf>
    <xf numFmtId="2" fontId="5" fillId="0" borderId="0" xfId="0" applyNumberFormat="1" applyFont="1"/>
    <xf numFmtId="0" fontId="55" fillId="0" borderId="44" xfId="6" applyFont="1" applyBorder="1" applyAlignment="1">
      <alignment horizontal="center" vertical="center" wrapText="1"/>
    </xf>
    <xf numFmtId="43" fontId="3" fillId="0" borderId="0" xfId="3" applyNumberFormat="1" applyFill="1" applyBorder="1" applyAlignment="1" applyProtection="1">
      <alignment horizontal="center"/>
    </xf>
    <xf numFmtId="0" fontId="57" fillId="0" borderId="0" xfId="4" applyFont="1"/>
    <xf numFmtId="0" fontId="6" fillId="0" borderId="0" xfId="4" applyFont="1" applyAlignment="1">
      <alignment horizontal="center"/>
    </xf>
    <xf numFmtId="164" fontId="16" fillId="0" borderId="0" xfId="8" applyNumberFormat="1" applyFont="1"/>
    <xf numFmtId="169" fontId="5" fillId="0" borderId="0" xfId="0" applyNumberFormat="1" applyFont="1" applyProtection="1">
      <protection locked="0"/>
    </xf>
    <xf numFmtId="3" fontId="6" fillId="14" borderId="0" xfId="0" applyNumberFormat="1" applyFont="1" applyFill="1" applyAlignment="1" applyProtection="1">
      <alignment horizontal="left"/>
      <protection locked="0"/>
    </xf>
    <xf numFmtId="0" fontId="3" fillId="0" borderId="0" xfId="3" applyAlignment="1" applyProtection="1"/>
    <xf numFmtId="0" fontId="3" fillId="6" borderId="10" xfId="3" applyFill="1" applyBorder="1" applyAlignment="1" applyProtection="1"/>
    <xf numFmtId="171" fontId="2" fillId="0" borderId="0" xfId="2" applyNumberFormat="1" applyFont="1" applyBorder="1"/>
    <xf numFmtId="169" fontId="6" fillId="0" borderId="0" xfId="1" applyNumberFormat="1" applyFont="1" applyBorder="1" applyProtection="1">
      <protection locked="0"/>
    </xf>
    <xf numFmtId="3" fontId="5" fillId="0" borderId="0" xfId="0" applyNumberFormat="1" applyFont="1" applyAlignment="1" applyProtection="1">
      <alignment horizontal="left" indent="3"/>
      <protection locked="0"/>
    </xf>
    <xf numFmtId="169" fontId="5" fillId="0" borderId="0" xfId="1" applyNumberFormat="1" applyFont="1" applyFill="1" applyProtection="1"/>
    <xf numFmtId="169" fontId="5" fillId="0" borderId="1" xfId="1" applyNumberFormat="1" applyFont="1" applyFill="1" applyBorder="1" applyProtection="1"/>
    <xf numFmtId="3" fontId="8" fillId="0" borderId="0" xfId="0" applyNumberFormat="1" applyFont="1" applyAlignment="1" applyProtection="1">
      <alignment horizontal="left" indent="3"/>
      <protection locked="0"/>
    </xf>
    <xf numFmtId="3" fontId="36" fillId="0" borderId="0" xfId="0" applyNumberFormat="1" applyFont="1" applyProtection="1">
      <protection locked="0"/>
    </xf>
    <xf numFmtId="3" fontId="36" fillId="0" borderId="0" xfId="0" applyNumberFormat="1" applyFont="1" applyAlignment="1" applyProtection="1">
      <alignment horizontal="right"/>
      <protection locked="0"/>
    </xf>
    <xf numFmtId="0" fontId="5" fillId="0" borderId="10" xfId="0" applyFont="1" applyBorder="1" applyProtection="1">
      <protection locked="0"/>
    </xf>
    <xf numFmtId="3" fontId="6" fillId="0" borderId="10" xfId="0" applyNumberFormat="1" applyFont="1" applyBorder="1" applyAlignment="1" applyProtection="1">
      <alignment horizontal="right"/>
      <protection locked="0"/>
    </xf>
    <xf numFmtId="169" fontId="6" fillId="0" borderId="10" xfId="1" applyNumberFormat="1" applyFont="1" applyBorder="1" applyProtection="1">
      <protection locked="0"/>
    </xf>
    <xf numFmtId="0" fontId="54" fillId="8" borderId="39" xfId="6" applyFont="1" applyFill="1" applyBorder="1" applyAlignment="1">
      <alignment vertical="center" wrapText="1"/>
    </xf>
    <xf numFmtId="0" fontId="54" fillId="8" borderId="43" xfId="0" applyFont="1" applyFill="1" applyBorder="1" applyAlignment="1">
      <alignment vertical="center" wrapText="1"/>
    </xf>
    <xf numFmtId="0" fontId="5" fillId="10" borderId="45" xfId="0" applyFont="1" applyFill="1" applyBorder="1"/>
    <xf numFmtId="0" fontId="5" fillId="10" borderId="46" xfId="0" applyFont="1" applyFill="1" applyBorder="1" applyAlignment="1">
      <alignment horizontal="right"/>
    </xf>
    <xf numFmtId="0" fontId="5" fillId="10" borderId="47" xfId="0" applyFont="1" applyFill="1" applyBorder="1"/>
    <xf numFmtId="0" fontId="5" fillId="10" borderId="48" xfId="0" applyFont="1" applyFill="1" applyBorder="1" applyAlignment="1">
      <alignment horizontal="right"/>
    </xf>
    <xf numFmtId="0" fontId="5" fillId="10" borderId="49" xfId="0" applyFont="1" applyFill="1" applyBorder="1"/>
    <xf numFmtId="0" fontId="42" fillId="8" borderId="50" xfId="6" applyFont="1" applyFill="1" applyBorder="1" applyAlignment="1">
      <alignment wrapText="1"/>
    </xf>
    <xf numFmtId="10" fontId="42" fillId="8" borderId="50" xfId="8" applyNumberFormat="1" applyFont="1" applyFill="1" applyBorder="1" applyAlignment="1">
      <alignment horizontal="left"/>
    </xf>
    <xf numFmtId="0" fontId="34" fillId="0" borderId="0" xfId="6" applyFont="1" applyAlignment="1">
      <alignment horizontal="right"/>
    </xf>
    <xf numFmtId="0" fontId="37" fillId="0" borderId="0" xfId="3" applyFont="1" applyAlignment="1" applyProtection="1"/>
    <xf numFmtId="0" fontId="55" fillId="14" borderId="7" xfId="6" applyFont="1" applyFill="1" applyBorder="1" applyAlignment="1">
      <alignment horizontal="center" vertical="center" wrapText="1"/>
    </xf>
    <xf numFmtId="0" fontId="55" fillId="14" borderId="43" xfId="6" applyFont="1" applyFill="1" applyBorder="1" applyAlignment="1">
      <alignment horizontal="center" vertical="center" wrapText="1"/>
    </xf>
    <xf numFmtId="0" fontId="55" fillId="14" borderId="52" xfId="6" applyFont="1" applyFill="1" applyBorder="1" applyAlignment="1">
      <alignment horizontal="center" vertical="center" wrapText="1"/>
    </xf>
    <xf numFmtId="10" fontId="54" fillId="14" borderId="53" xfId="8" applyNumberFormat="1" applyFont="1" applyFill="1" applyBorder="1" applyAlignment="1">
      <alignment horizontal="center" vertical="center" wrapText="1"/>
    </xf>
    <xf numFmtId="10" fontId="54" fillId="14" borderId="54" xfId="8" applyNumberFormat="1" applyFont="1" applyFill="1" applyBorder="1" applyAlignment="1">
      <alignment horizontal="center" vertical="center" wrapText="1"/>
    </xf>
    <xf numFmtId="0" fontId="55" fillId="14" borderId="39" xfId="6" applyFont="1" applyFill="1" applyBorder="1" applyAlignment="1">
      <alignment horizontal="center" vertical="center" wrapText="1"/>
    </xf>
    <xf numFmtId="164" fontId="0" fillId="0" borderId="0" xfId="0" applyNumberFormat="1"/>
    <xf numFmtId="164" fontId="54" fillId="8" borderId="55" xfId="6" applyNumberFormat="1" applyFont="1" applyFill="1" applyBorder="1" applyAlignment="1">
      <alignment horizontal="center" vertical="center" wrapText="1"/>
    </xf>
    <xf numFmtId="164" fontId="54" fillId="8" borderId="56" xfId="6" applyNumberFormat="1" applyFont="1" applyFill="1" applyBorder="1" applyAlignment="1">
      <alignment horizontal="center" vertical="center" wrapText="1"/>
    </xf>
    <xf numFmtId="164" fontId="54" fillId="14" borderId="57" xfId="6" applyNumberFormat="1" applyFont="1" applyFill="1" applyBorder="1" applyAlignment="1">
      <alignment horizontal="center" vertical="center" wrapText="1"/>
    </xf>
    <xf numFmtId="164" fontId="54" fillId="0" borderId="56" xfId="6" applyNumberFormat="1" applyFont="1" applyBorder="1" applyAlignment="1">
      <alignment horizontal="center" vertical="center" wrapText="1"/>
    </xf>
    <xf numFmtId="164" fontId="54" fillId="0" borderId="58" xfId="6" applyNumberFormat="1" applyFont="1" applyBorder="1" applyAlignment="1">
      <alignment horizontal="center" vertical="center" wrapText="1"/>
    </xf>
    <xf numFmtId="14" fontId="32" fillId="0" borderId="0" xfId="0" applyNumberFormat="1" applyFont="1" applyAlignment="1">
      <alignment horizontal="center"/>
    </xf>
    <xf numFmtId="0" fontId="55" fillId="0" borderId="5" xfId="6" applyFont="1" applyBorder="1" applyAlignment="1">
      <alignment horizontal="center" vertical="center" wrapText="1"/>
    </xf>
    <xf numFmtId="0" fontId="55" fillId="0" borderId="0" xfId="6" applyFont="1" applyAlignment="1">
      <alignment horizontal="center" vertical="center" wrapText="1"/>
    </xf>
    <xf numFmtId="0" fontId="55" fillId="0" borderId="1" xfId="6" applyFont="1" applyBorder="1" applyAlignment="1">
      <alignment horizontal="center" vertical="center" wrapText="1"/>
    </xf>
    <xf numFmtId="0" fontId="5" fillId="0" borderId="0" xfId="0" applyFont="1" applyAlignment="1">
      <alignment vertical="center"/>
    </xf>
    <xf numFmtId="14" fontId="18" fillId="0" borderId="0" xfId="0" applyNumberFormat="1" applyFont="1"/>
    <xf numFmtId="0" fontId="6" fillId="11" borderId="46" xfId="0" applyFont="1" applyFill="1" applyBorder="1" applyAlignment="1">
      <alignment horizontal="center"/>
    </xf>
    <xf numFmtId="0" fontId="5" fillId="11" borderId="51" xfId="0" applyFont="1" applyFill="1" applyBorder="1" applyAlignment="1">
      <alignment horizontal="right"/>
    </xf>
    <xf numFmtId="0" fontId="31" fillId="0" borderId="0" xfId="0" applyFont="1" applyAlignment="1">
      <alignment vertical="center"/>
    </xf>
    <xf numFmtId="164" fontId="31" fillId="0" borderId="0" xfId="8" applyNumberFormat="1" applyFont="1"/>
    <xf numFmtId="0" fontId="39" fillId="0" borderId="0" xfId="0" applyFont="1"/>
    <xf numFmtId="10" fontId="31" fillId="0" borderId="0" xfId="8" applyNumberFormat="1" applyFont="1" applyFill="1" applyBorder="1"/>
    <xf numFmtId="0" fontId="31" fillId="0" borderId="0" xfId="4" applyFont="1"/>
    <xf numFmtId="0" fontId="59" fillId="0" borderId="0" xfId="4" applyFont="1"/>
    <xf numFmtId="164" fontId="31" fillId="0" borderId="0" xfId="0" applyNumberFormat="1" applyFont="1"/>
    <xf numFmtId="0" fontId="60" fillId="0" borderId="0" xfId="4" applyFont="1"/>
    <xf numFmtId="0" fontId="61" fillId="0" borderId="0" xfId="4" applyFont="1"/>
    <xf numFmtId="0" fontId="61" fillId="0" borderId="0" xfId="0" applyFont="1" applyAlignment="1">
      <alignment vertical="center"/>
    </xf>
    <xf numFmtId="0" fontId="62" fillId="6" borderId="10" xfId="3" applyFont="1" applyFill="1" applyBorder="1" applyAlignment="1" applyProtection="1"/>
    <xf numFmtId="0" fontId="5" fillId="11" borderId="0" xfId="0" applyFont="1" applyFill="1" applyAlignment="1" applyProtection="1">
      <alignment horizontal="center"/>
      <protection locked="0"/>
    </xf>
    <xf numFmtId="3" fontId="5" fillId="11" borderId="0" xfId="0" applyNumberFormat="1" applyFont="1" applyFill="1" applyAlignment="1" applyProtection="1">
      <alignment horizontal="center"/>
      <protection locked="0"/>
    </xf>
    <xf numFmtId="0" fontId="1" fillId="0" borderId="0" xfId="0" applyFont="1"/>
    <xf numFmtId="0" fontId="55" fillId="0" borderId="7" xfId="6" applyFont="1" applyBorder="1" applyAlignment="1">
      <alignment horizontal="center" vertical="center" wrapText="1"/>
    </xf>
    <xf numFmtId="0" fontId="55" fillId="0" borderId="43" xfId="6" applyFont="1" applyBorder="1" applyAlignment="1">
      <alignment horizontal="center" vertical="center" wrapText="1"/>
    </xf>
    <xf numFmtId="164" fontId="54" fillId="0" borderId="55" xfId="6" applyNumberFormat="1" applyFont="1" applyBorder="1" applyAlignment="1">
      <alignment horizontal="center" vertical="center" wrapText="1"/>
    </xf>
    <xf numFmtId="164" fontId="54" fillId="0" borderId="59" xfId="6" applyNumberFormat="1" applyFont="1" applyBorder="1" applyAlignment="1">
      <alignment horizontal="center" vertical="center" wrapText="1"/>
    </xf>
    <xf numFmtId="166" fontId="5" fillId="0" borderId="0" xfId="0" applyNumberFormat="1" applyFont="1"/>
    <xf numFmtId="167" fontId="5" fillId="11" borderId="27" xfId="0" applyNumberFormat="1" applyFont="1" applyFill="1" applyBorder="1"/>
    <xf numFmtId="167" fontId="5" fillId="11" borderId="10" xfId="0" applyNumberFormat="1" applyFont="1" applyFill="1" applyBorder="1"/>
    <xf numFmtId="166" fontId="5" fillId="11" borderId="26" xfId="0" applyNumberFormat="1" applyFont="1" applyFill="1" applyBorder="1"/>
    <xf numFmtId="167" fontId="5" fillId="11" borderId="1" xfId="0" applyNumberFormat="1" applyFont="1" applyFill="1" applyBorder="1"/>
    <xf numFmtId="167" fontId="5" fillId="11" borderId="0" xfId="0" applyNumberFormat="1" applyFont="1" applyFill="1"/>
    <xf numFmtId="167" fontId="5" fillId="11" borderId="34" xfId="0" applyNumberFormat="1" applyFont="1" applyFill="1" applyBorder="1"/>
    <xf numFmtId="167" fontId="5" fillId="11" borderId="35" xfId="0" applyNumberFormat="1" applyFont="1" applyFill="1" applyBorder="1"/>
    <xf numFmtId="166" fontId="5" fillId="11" borderId="36" xfId="0" applyNumberFormat="1" applyFont="1" applyFill="1" applyBorder="1"/>
    <xf numFmtId="166" fontId="5" fillId="11" borderId="20" xfId="0" applyNumberFormat="1" applyFont="1" applyFill="1" applyBorder="1"/>
    <xf numFmtId="164" fontId="54" fillId="17" borderId="39" xfId="0" applyNumberFormat="1" applyFont="1" applyFill="1" applyBorder="1" applyAlignment="1">
      <alignment horizontal="center" vertical="center" wrapText="1"/>
    </xf>
    <xf numFmtId="164" fontId="54" fillId="17" borderId="41" xfId="0" applyNumberFormat="1" applyFont="1" applyFill="1" applyBorder="1" applyAlignment="1">
      <alignment horizontal="center" vertical="center" wrapText="1"/>
    </xf>
    <xf numFmtId="1" fontId="58" fillId="10" borderId="51" xfId="0" applyNumberFormat="1" applyFont="1" applyFill="1" applyBorder="1"/>
    <xf numFmtId="1" fontId="5" fillId="10" borderId="51" xfId="0" applyNumberFormat="1" applyFont="1" applyFill="1" applyBorder="1"/>
    <xf numFmtId="2" fontId="5" fillId="6" borderId="0" xfId="0" applyNumberFormat="1" applyFont="1" applyFill="1" applyAlignment="1" applyProtection="1">
      <alignment horizontal="center"/>
      <protection locked="0"/>
    </xf>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5" xfId="7" applyFont="1" applyFill="1" applyBorder="1" applyAlignment="1">
      <alignment horizontal="center"/>
    </xf>
    <xf numFmtId="0" fontId="24" fillId="2" borderId="11" xfId="7" applyFont="1" applyFill="1" applyBorder="1" applyAlignment="1">
      <alignment horizontal="center"/>
    </xf>
    <xf numFmtId="0" fontId="24" fillId="2" borderId="10" xfId="7" applyFont="1" applyFill="1" applyBorder="1" applyAlignment="1">
      <alignment horizontal="center"/>
    </xf>
    <xf numFmtId="0" fontId="24" fillId="2" borderId="12" xfId="7" applyFont="1" applyFill="1" applyBorder="1" applyAlignment="1">
      <alignment horizontal="center"/>
    </xf>
    <xf numFmtId="0" fontId="63" fillId="11" borderId="19" xfId="0" applyFont="1" applyFill="1" applyBorder="1" applyAlignment="1">
      <alignment horizontal="left"/>
    </xf>
    <xf numFmtId="0" fontId="63" fillId="11" borderId="14" xfId="0" applyFont="1" applyFill="1" applyBorder="1" applyAlignment="1">
      <alignment horizontal="left"/>
    </xf>
    <xf numFmtId="0" fontId="63" fillId="11" borderId="18" xfId="0" applyFont="1" applyFill="1" applyBorder="1" applyAlignment="1">
      <alignment horizontal="left"/>
    </xf>
    <xf numFmtId="0" fontId="6" fillId="9" borderId="1" xfId="0" applyFont="1" applyFill="1" applyBorder="1" applyAlignment="1">
      <alignment horizontal="left"/>
    </xf>
    <xf numFmtId="0" fontId="6" fillId="9" borderId="0" xfId="0" applyFont="1" applyFill="1" applyAlignment="1">
      <alignment horizontal="left"/>
    </xf>
    <xf numFmtId="0" fontId="6" fillId="6" borderId="27" xfId="0" applyFont="1" applyFill="1" applyBorder="1" applyAlignment="1">
      <alignment horizontal="right"/>
    </xf>
    <xf numFmtId="0" fontId="6" fillId="6" borderId="10" xfId="0" applyFont="1" applyFill="1" applyBorder="1" applyAlignment="1">
      <alignment horizontal="right"/>
    </xf>
    <xf numFmtId="0" fontId="55" fillId="0" borderId="7" xfId="6" applyFont="1" applyBorder="1" applyAlignment="1">
      <alignment horizontal="center" vertical="center"/>
    </xf>
    <xf numFmtId="0" fontId="55" fillId="0" borderId="43" xfId="6" applyFont="1" applyBorder="1" applyAlignment="1">
      <alignment horizontal="center" vertical="center"/>
    </xf>
    <xf numFmtId="0" fontId="56" fillId="0" borderId="0" xfId="6" applyFont="1" applyAlignment="1">
      <alignment horizontal="left" wrapText="1"/>
    </xf>
    <xf numFmtId="0" fontId="37" fillId="0" borderId="21" xfId="3" applyFont="1" applyBorder="1" applyAlignment="1" applyProtection="1">
      <alignment horizontal="center"/>
    </xf>
    <xf numFmtId="0" fontId="37" fillId="0" borderId="22" xfId="3" applyFont="1" applyBorder="1" applyAlignment="1" applyProtection="1">
      <alignment horizontal="center"/>
    </xf>
    <xf numFmtId="0" fontId="37" fillId="0" borderId="23" xfId="3" applyFont="1" applyBorder="1" applyAlignment="1" applyProtection="1">
      <alignment horizontal="center"/>
    </xf>
    <xf numFmtId="1" fontId="5" fillId="18" borderId="51" xfId="0" applyNumberFormat="1" applyFont="1" applyFill="1" applyBorder="1"/>
  </cellXfs>
  <cellStyles count="11">
    <cellStyle name="Comma" xfId="1" builtinId="3"/>
    <cellStyle name="Comma 2" xfId="2" xr:uid="{A5D32299-3667-4331-B616-169614B2D55A}"/>
    <cellStyle name="Hyperlink" xfId="3" builtinId="8"/>
    <cellStyle name="Normal" xfId="0" builtinId="0"/>
    <cellStyle name="Normal 2" xfId="4" xr:uid="{7B8BCADF-4EFB-4F47-B77A-45888ABBFAFB}"/>
    <cellStyle name="Normal 3" xfId="5" xr:uid="{0827FC2B-87CC-4EEB-A39C-14736CC5A308}"/>
    <cellStyle name="Normal 4" xfId="6" xr:uid="{99333007-6361-4AD7-8633-9691EB2DBA1A}"/>
    <cellStyle name="Normal_person_months_conversion_chart-4" xfId="7" xr:uid="{800307E1-D4DD-48DE-B1A5-C8BF5A772466}"/>
    <cellStyle name="Percent" xfId="8" builtinId="5"/>
    <cellStyle name="Percent 2" xfId="9" xr:uid="{3FE0BCA6-7FD7-4431-9275-13B82EB3F0B0}"/>
    <cellStyle name="Percent 6" xfId="10" xr:uid="{08B944E2-E655-49C0-996D-7500BB6A8F85}"/>
  </cellStyles>
  <dxfs count="4">
    <dxf>
      <font>
        <color theme="1"/>
      </font>
    </dxf>
    <dxf>
      <font>
        <color theme="0" tint="-0.34998626667073579"/>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EE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uide/notice-files/NOT-HS-25-015.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D7E05-0DE9-4CF7-BA2D-0E44712B0544}">
  <sheetPr>
    <tabColor rgb="FF008000"/>
    <pageSetUpPr fitToPage="1"/>
  </sheetPr>
  <dimension ref="A1:AN190"/>
  <sheetViews>
    <sheetView tabSelected="1" zoomScale="90" zoomScaleNormal="90" workbookViewId="0">
      <pane ySplit="4" topLeftCell="A5" activePane="bottomLeft" state="frozen"/>
      <selection pane="bottomLeft"/>
    </sheetView>
  </sheetViews>
  <sheetFormatPr defaultColWidth="8.85546875" defaultRowHeight="12.75"/>
  <cols>
    <col min="1" max="1" width="4.28515625" style="1" customWidth="1"/>
    <col min="2" max="2" width="32.5703125" style="1" customWidth="1"/>
    <col min="3" max="3" width="43" style="1" customWidth="1"/>
    <col min="4" max="4" width="9.7109375" style="1" customWidth="1"/>
    <col min="5" max="6" width="6.140625" style="1" bestFit="1" customWidth="1"/>
    <col min="7" max="9" width="6.7109375" style="1" customWidth="1"/>
    <col min="10" max="10" width="7.5703125" style="1" customWidth="1"/>
    <col min="11" max="15" width="9.85546875" style="1" customWidth="1"/>
    <col min="16" max="16" width="11.140625" style="1" customWidth="1"/>
    <col min="17" max="17" width="17.140625" style="1" customWidth="1"/>
    <col min="18" max="18" width="9.85546875" style="1" customWidth="1"/>
    <col min="19" max="19" width="13.28515625" style="1" customWidth="1"/>
    <col min="20" max="20" width="12.5703125" style="1" customWidth="1"/>
    <col min="21" max="21" width="9.140625" style="1" customWidth="1"/>
    <col min="22" max="25" width="8" style="1" bestFit="1" customWidth="1"/>
    <col min="26" max="26" width="12.5703125" style="1" customWidth="1"/>
    <col min="27" max="27" width="3.5703125" style="1" customWidth="1"/>
    <col min="28" max="28" width="3.28515625" style="1" customWidth="1"/>
    <col min="29" max="30" width="8.85546875" style="1"/>
    <col min="31" max="31" width="7" style="1" bestFit="1" customWidth="1"/>
    <col min="32" max="32" width="10.28515625" style="1" bestFit="1" customWidth="1"/>
    <col min="33" max="33" width="33.7109375" style="1" customWidth="1"/>
    <col min="34" max="34" width="3.85546875" style="1" customWidth="1"/>
    <col min="35" max="35" width="3.42578125" style="1" customWidth="1"/>
    <col min="36" max="36" width="42.28515625" style="1" bestFit="1" customWidth="1"/>
    <col min="37" max="37" width="20.28515625" style="1" bestFit="1" customWidth="1"/>
    <col min="38" max="16384" width="8.85546875" style="1"/>
  </cols>
  <sheetData>
    <row r="1" spans="1:40" ht="20.25">
      <c r="A1" s="162">
        <v>5</v>
      </c>
      <c r="B1" s="163" t="s">
        <v>92</v>
      </c>
      <c r="C1" s="163"/>
      <c r="D1" s="164"/>
      <c r="E1" s="164"/>
      <c r="F1" s="164"/>
      <c r="G1" s="164"/>
      <c r="H1" s="164"/>
      <c r="I1" s="164"/>
      <c r="J1" s="164"/>
      <c r="K1" s="164"/>
      <c r="L1" s="164"/>
      <c r="M1" s="164"/>
      <c r="N1" s="164"/>
      <c r="O1" s="164"/>
      <c r="P1" s="165"/>
      <c r="S1" s="1" t="s">
        <v>27</v>
      </c>
      <c r="AF1" s="1" t="s">
        <v>27</v>
      </c>
      <c r="AM1" s="1" t="s">
        <v>27</v>
      </c>
      <c r="AN1" s="1" t="s">
        <v>27</v>
      </c>
    </row>
    <row r="2" spans="1:40" ht="12.75" customHeight="1" thickBot="1">
      <c r="A2" s="166" t="s">
        <v>27</v>
      </c>
      <c r="B2" s="167" t="str">
        <f>IF(A1=1,"",IF(A1=2,"",IF(A1=3,"",IF(A1=4,"",IF(A1=5,"","ERROR Cell A1")))))</f>
        <v/>
      </c>
      <c r="C2" s="168"/>
      <c r="D2" s="168"/>
      <c r="E2" s="168"/>
      <c r="F2" s="168"/>
      <c r="G2" s="168"/>
      <c r="H2" s="168"/>
      <c r="I2" s="168"/>
      <c r="J2" s="168"/>
      <c r="K2" s="168"/>
      <c r="L2" s="168"/>
      <c r="M2" s="168"/>
      <c r="N2" s="168"/>
      <c r="O2" s="168"/>
      <c r="P2" s="169"/>
    </row>
    <row r="3" spans="1:40" ht="12" customHeight="1" thickBot="1">
      <c r="A3" s="170"/>
      <c r="B3" s="171" t="s">
        <v>28</v>
      </c>
      <c r="C3" s="172"/>
      <c r="D3" s="170" t="s">
        <v>27</v>
      </c>
      <c r="E3" s="170"/>
      <c r="F3" s="170"/>
      <c r="G3" s="170"/>
      <c r="H3" s="170"/>
      <c r="I3" s="170"/>
      <c r="J3" s="170"/>
      <c r="K3" s="170"/>
      <c r="L3" s="170"/>
      <c r="M3" s="170"/>
      <c r="N3" s="170"/>
      <c r="O3" s="170"/>
      <c r="P3" s="170"/>
      <c r="Q3" s="11" t="s">
        <v>127</v>
      </c>
      <c r="S3" s="341"/>
    </row>
    <row r="4" spans="1:40" ht="13.5" thickBot="1">
      <c r="A4" s="170"/>
      <c r="B4" s="173" t="str">
        <f ca="1">IF(TODAY()-Q4&gt;240,"This Budget Template is more than 240 Days Old","")</f>
        <v/>
      </c>
      <c r="C4" s="170"/>
      <c r="D4" s="174"/>
      <c r="E4" s="174"/>
      <c r="F4" s="174"/>
      <c r="G4" s="174"/>
      <c r="H4" s="174"/>
      <c r="I4" s="170"/>
      <c r="J4" s="170"/>
      <c r="K4" s="175" t="s">
        <v>1</v>
      </c>
      <c r="L4" s="175" t="s">
        <v>2</v>
      </c>
      <c r="M4" s="175" t="s">
        <v>3</v>
      </c>
      <c r="N4" s="175" t="s">
        <v>31</v>
      </c>
      <c r="O4" s="175" t="s">
        <v>32</v>
      </c>
      <c r="P4" s="176" t="s">
        <v>4</v>
      </c>
      <c r="Q4" s="332">
        <v>46279</v>
      </c>
      <c r="S4" s="3"/>
      <c r="T4" s="4"/>
      <c r="U4" s="4" t="str">
        <f>"AY "&amp;IF(MONTH(K5)&gt;3, MOD(YEAR(K5),100), MOD(YEAR(K5)-1,100))&amp;"-"&amp;IF(MONTH(K5)&gt;3, MOD(YEAR(K5)+1,100), MOD(YEAR(K5),100))</f>
        <v>AY 26-27</v>
      </c>
      <c r="V4" s="4" t="str">
        <f>"AY "&amp;IF(MONTH(K5)&gt;3, MOD(YEAR(K5)+1,100), MOD(YEAR(K5),100))&amp;"-"&amp;IF(MONTH(K5)&gt;3, MOD(YEAR(K5)+2,100), MOD(YEAR(K5)+1,100))</f>
        <v>AY 27-28</v>
      </c>
      <c r="W4" s="4" t="str">
        <f>"AY "&amp;IF(MONTH(K5)&gt;3, MOD(YEAR(K5)+2,100), MOD(YEAR(K5)+1,100))&amp;"-"&amp;IF(MONTH(K5)&gt;3, MOD(YEAR(K5)+3,100), MOD(YEAR(K5)+2,100))</f>
        <v>AY 28-29</v>
      </c>
      <c r="X4" s="4" t="str">
        <f>"AY "&amp;IF(MONTH(K5)&gt;3, MOD(YEAR(K5)+3,100), MOD(YEAR(K5)+2,100))&amp;"-"&amp;IF(MONTH(K5)&gt;3, MOD(YEAR(K5)+4,100), MOD(YEAR(K5)+3,100))</f>
        <v>AY 29-30</v>
      </c>
      <c r="Y4" s="4" t="str">
        <f>"AY "&amp;IF(MONTH(K5)&gt;3, MOD(YEAR(K5)+4,100), MOD(YEAR(K5)+3,100))&amp;"-"&amp;IF(MONTH(K5)&gt;3, MOD(YEAR(K5)+5,100), MOD(YEAR(K5)+4,100))</f>
        <v>AY 30-31</v>
      </c>
      <c r="Z4" s="16" t="str">
        <f>"AY "&amp;IF(MONTH(L5)&gt;3, MOD(YEAR(L5)+4,100), MOD(YEAR(L5)+3,100))&amp;"-"&amp;IF(MONTH(L5)&gt;3, MOD(YEAR(L5)+5,100), MOD(YEAR(L5)+4,100))</f>
        <v>AY 31-32</v>
      </c>
      <c r="AC4" s="90" t="s">
        <v>91</v>
      </c>
      <c r="AD4" s="88" t="s">
        <v>87</v>
      </c>
      <c r="AE4" s="89"/>
      <c r="AF4" s="145" t="s">
        <v>136</v>
      </c>
    </row>
    <row r="5" spans="1:40">
      <c r="A5" s="170"/>
      <c r="B5" s="170" t="s">
        <v>27</v>
      </c>
      <c r="C5" s="170"/>
      <c r="D5" s="174"/>
      <c r="E5" s="174"/>
      <c r="F5" s="174"/>
      <c r="G5" s="174"/>
      <c r="H5" s="174"/>
      <c r="I5" s="170"/>
      <c r="J5" s="169" t="s">
        <v>54</v>
      </c>
      <c r="K5" s="314">
        <v>46204</v>
      </c>
      <c r="L5" s="177">
        <f>K6+1</f>
        <v>46569</v>
      </c>
      <c r="M5" s="177">
        <f>L6+1</f>
        <v>46935</v>
      </c>
      <c r="N5" s="177">
        <f>M6+1</f>
        <v>47300</v>
      </c>
      <c r="O5" s="177">
        <f>N6+1</f>
        <v>47665</v>
      </c>
      <c r="P5" s="178"/>
      <c r="Q5" s="91" t="s">
        <v>50</v>
      </c>
      <c r="S5" s="5"/>
      <c r="Z5" s="6"/>
      <c r="AC5" s="356"/>
      <c r="AD5" s="383" t="s">
        <v>86</v>
      </c>
      <c r="AE5" s="384" t="s">
        <v>265</v>
      </c>
      <c r="AF5" s="145" t="s">
        <v>136</v>
      </c>
      <c r="AG5" s="152" t="s">
        <v>143</v>
      </c>
      <c r="AH5" s="282">
        <v>0</v>
      </c>
      <c r="AJ5" s="295" t="s">
        <v>155</v>
      </c>
    </row>
    <row r="6" spans="1:40">
      <c r="A6" s="170"/>
      <c r="B6" s="174" t="s">
        <v>225</v>
      </c>
      <c r="C6" s="174"/>
      <c r="D6" s="174" t="s">
        <v>27</v>
      </c>
      <c r="E6" s="174"/>
      <c r="F6" s="174"/>
      <c r="G6" s="174"/>
      <c r="H6" s="174"/>
      <c r="I6" s="170"/>
      <c r="J6" s="169" t="s">
        <v>55</v>
      </c>
      <c r="K6" s="177">
        <v>46568</v>
      </c>
      <c r="L6" s="177">
        <f>DATE(YEAR(K6)+1,MONTH(K6),DAY(K6))</f>
        <v>46934</v>
      </c>
      <c r="M6" s="177">
        <f>DATE(YEAR(L6)+1,MONTH(L6),DAY(L6))</f>
        <v>47299</v>
      </c>
      <c r="N6" s="177">
        <f>DATE(YEAR(M6)+1,MONTH(M6),DAY(M6))</f>
        <v>47664</v>
      </c>
      <c r="O6" s="177">
        <f>DATE(YEAR(N6)+1,MONTH(N6),DAY(N6))</f>
        <v>48029</v>
      </c>
      <c r="P6" s="178"/>
      <c r="Q6" s="91" t="s">
        <v>51</v>
      </c>
      <c r="S6" s="5" t="s">
        <v>152</v>
      </c>
      <c r="T6" s="1" t="s">
        <v>173</v>
      </c>
      <c r="U6" s="1">
        <f>ROUND(AE6*POWER(AF6,RIGHT($U$4,2)-RIGHT($AE$5,2)),0)</f>
        <v>945</v>
      </c>
      <c r="V6" s="1">
        <f>IF($R$8="N",U6,ROUND(U6*AF6,0))</f>
        <v>973</v>
      </c>
      <c r="W6" s="1">
        <f t="shared" ref="W6:W11" si="0">IF($R$8="N",V6,ROUND(V6*AF6,0))</f>
        <v>1002</v>
      </c>
      <c r="X6" s="1">
        <f t="shared" ref="X6:X11" si="1">IF($R$8="N",W6,ROUND(W6*AF6,0))</f>
        <v>1031</v>
      </c>
      <c r="Y6" s="1">
        <f t="shared" ref="Y6:Y11" si="2">IF($R$8="N",X6,ROUND(X6*AF6,0))</f>
        <v>1061</v>
      </c>
      <c r="Z6" s="6">
        <f t="shared" ref="Z6:Z11" si="3">IF($R$8="N",Y6,ROUND(Y6*AF6,0))</f>
        <v>1092</v>
      </c>
      <c r="AC6" s="356"/>
      <c r="AD6" s="357" t="s">
        <v>149</v>
      </c>
      <c r="AE6" s="415">
        <v>945</v>
      </c>
      <c r="AF6" s="316">
        <v>1.0294000000000001</v>
      </c>
      <c r="AG6" s="152" t="s">
        <v>137</v>
      </c>
      <c r="AH6" s="1">
        <v>3</v>
      </c>
      <c r="AJ6" s="1" t="s">
        <v>185</v>
      </c>
      <c r="AK6" s="295" t="s">
        <v>163</v>
      </c>
    </row>
    <row r="7" spans="1:40">
      <c r="A7" s="170"/>
      <c r="B7" s="174" t="s">
        <v>8</v>
      </c>
      <c r="C7" s="174"/>
      <c r="D7" s="174"/>
      <c r="E7" s="174"/>
      <c r="F7" s="174"/>
      <c r="G7" s="174"/>
      <c r="H7" s="174"/>
      <c r="I7" s="170"/>
      <c r="J7" s="170"/>
      <c r="K7" s="286"/>
      <c r="L7" s="286"/>
      <c r="M7" s="286"/>
      <c r="N7" s="286"/>
      <c r="O7" s="286"/>
      <c r="P7" s="178"/>
      <c r="Q7" s="91" t="s">
        <v>52</v>
      </c>
      <c r="S7" s="5" t="s">
        <v>153</v>
      </c>
      <c r="T7" s="1" t="s">
        <v>173</v>
      </c>
      <c r="U7" s="1">
        <f t="shared" ref="U7:U11" si="4">ROUND(AE7*POWER(AF7,RIGHT($U$4,2)-RIGHT($AE$5,2)),0)</f>
        <v>799</v>
      </c>
      <c r="V7" s="1">
        <f t="shared" ref="V7:V11" si="5">IF($R$8="N",U7,ROUND(U7*AF7,0))</f>
        <v>823</v>
      </c>
      <c r="W7" s="1">
        <f t="shared" si="0"/>
        <v>848</v>
      </c>
      <c r="X7" s="1">
        <f t="shared" si="1"/>
        <v>873</v>
      </c>
      <c r="Y7" s="1">
        <f t="shared" si="2"/>
        <v>899</v>
      </c>
      <c r="Z7" s="6">
        <f t="shared" si="3"/>
        <v>926</v>
      </c>
      <c r="AC7" s="356"/>
      <c r="AD7" s="357" t="s">
        <v>150</v>
      </c>
      <c r="AE7" s="415">
        <v>799.38</v>
      </c>
      <c r="AF7" s="316">
        <v>1.0298</v>
      </c>
      <c r="AG7" s="152" t="s">
        <v>138</v>
      </c>
      <c r="AH7" s="1">
        <v>4</v>
      </c>
      <c r="AJ7" s="1" t="s">
        <v>194</v>
      </c>
      <c r="AK7" s="295" t="s">
        <v>164</v>
      </c>
    </row>
    <row r="8" spans="1:40">
      <c r="A8" s="170"/>
      <c r="B8" s="174" t="s">
        <v>0</v>
      </c>
      <c r="C8" s="174"/>
      <c r="D8" s="174"/>
      <c r="E8" s="174"/>
      <c r="F8" s="174"/>
      <c r="G8" s="174"/>
      <c r="H8" s="174"/>
      <c r="I8" s="170"/>
      <c r="J8" s="170"/>
      <c r="K8" s="170"/>
      <c r="L8" s="170"/>
      <c r="M8" s="170"/>
      <c r="N8" s="170"/>
      <c r="O8" s="170"/>
      <c r="P8" s="178"/>
      <c r="Q8" s="1" t="s">
        <v>129</v>
      </c>
      <c r="R8" s="21" t="s">
        <v>223</v>
      </c>
      <c r="S8" s="5" t="s">
        <v>152</v>
      </c>
      <c r="T8" s="1" t="s">
        <v>174</v>
      </c>
      <c r="U8" s="1">
        <f t="shared" si="4"/>
        <v>2775</v>
      </c>
      <c r="V8" s="1">
        <f t="shared" si="5"/>
        <v>2919</v>
      </c>
      <c r="W8" s="1">
        <f t="shared" si="0"/>
        <v>3071</v>
      </c>
      <c r="X8" s="1">
        <f t="shared" si="1"/>
        <v>3231</v>
      </c>
      <c r="Y8" s="1">
        <f t="shared" si="2"/>
        <v>3399</v>
      </c>
      <c r="Z8" s="6">
        <f t="shared" si="3"/>
        <v>3576</v>
      </c>
      <c r="AC8" s="356"/>
      <c r="AD8" s="357" t="s">
        <v>221</v>
      </c>
      <c r="AE8" s="437">
        <v>2775</v>
      </c>
      <c r="AF8" s="316">
        <v>1.052</v>
      </c>
      <c r="AG8" s="152" t="s">
        <v>139</v>
      </c>
      <c r="AH8" s="1">
        <v>5</v>
      </c>
      <c r="AJ8" s="1" t="s">
        <v>193</v>
      </c>
      <c r="AK8" s="295" t="s">
        <v>165</v>
      </c>
    </row>
    <row r="9" spans="1:40" ht="11.25" customHeight="1">
      <c r="A9" s="170"/>
      <c r="B9" s="179" t="s">
        <v>33</v>
      </c>
      <c r="C9" s="179"/>
      <c r="D9" s="174"/>
      <c r="E9" s="174"/>
      <c r="F9" s="174"/>
      <c r="G9" s="174"/>
      <c r="H9" s="174"/>
      <c r="I9" s="170"/>
      <c r="J9" s="170"/>
      <c r="K9" s="170"/>
      <c r="L9" s="170"/>
      <c r="M9" s="170"/>
      <c r="N9" s="170"/>
      <c r="O9" s="170"/>
      <c r="P9" s="178"/>
      <c r="Q9" s="1" t="s">
        <v>130</v>
      </c>
      <c r="R9" s="21" t="s">
        <v>223</v>
      </c>
      <c r="S9" s="5" t="s">
        <v>154</v>
      </c>
      <c r="T9" s="1" t="s">
        <v>174</v>
      </c>
      <c r="U9" s="1">
        <f t="shared" si="4"/>
        <v>2355</v>
      </c>
      <c r="V9" s="1">
        <f t="shared" si="5"/>
        <v>2532</v>
      </c>
      <c r="W9" s="1">
        <f t="shared" si="0"/>
        <v>2722</v>
      </c>
      <c r="X9" s="1">
        <f t="shared" si="1"/>
        <v>2926</v>
      </c>
      <c r="Y9" s="1">
        <f t="shared" si="2"/>
        <v>3145</v>
      </c>
      <c r="Z9" s="6">
        <f t="shared" si="3"/>
        <v>3381</v>
      </c>
      <c r="AC9" s="356"/>
      <c r="AD9" s="357" t="s">
        <v>151</v>
      </c>
      <c r="AE9" s="416">
        <v>2355</v>
      </c>
      <c r="AF9" s="316">
        <v>1.075</v>
      </c>
      <c r="AG9" s="291" t="s">
        <v>140</v>
      </c>
      <c r="AH9" s="1">
        <v>6</v>
      </c>
      <c r="AJ9" s="1" t="s">
        <v>159</v>
      </c>
      <c r="AK9" s="295" t="s">
        <v>166</v>
      </c>
    </row>
    <row r="10" spans="1:40" ht="13.5" customHeight="1">
      <c r="A10" s="170"/>
      <c r="B10" s="174" t="s">
        <v>34</v>
      </c>
      <c r="C10" s="180"/>
      <c r="D10" s="396" t="s">
        <v>43</v>
      </c>
      <c r="E10" s="170" t="s">
        <v>37</v>
      </c>
      <c r="F10" s="170" t="s">
        <v>38</v>
      </c>
      <c r="G10" s="170" t="s">
        <v>39</v>
      </c>
      <c r="H10" s="170" t="s">
        <v>40</v>
      </c>
      <c r="I10" s="170" t="s">
        <v>41</v>
      </c>
      <c r="J10" s="170"/>
      <c r="K10" s="170"/>
      <c r="L10" s="170"/>
      <c r="M10" s="170"/>
      <c r="N10" s="170"/>
      <c r="O10" s="170"/>
      <c r="P10" s="178"/>
      <c r="S10" s="5" t="s">
        <v>26</v>
      </c>
      <c r="T10" s="1" t="s">
        <v>15</v>
      </c>
      <c r="U10" s="17">
        <f t="shared" si="4"/>
        <v>5841</v>
      </c>
      <c r="V10" s="1">
        <f t="shared" si="5"/>
        <v>5999</v>
      </c>
      <c r="W10" s="1">
        <f t="shared" si="0"/>
        <v>6161</v>
      </c>
      <c r="X10" s="1">
        <f t="shared" si="1"/>
        <v>6327</v>
      </c>
      <c r="Y10" s="1">
        <f t="shared" si="2"/>
        <v>6498</v>
      </c>
      <c r="Z10" s="6">
        <f t="shared" si="3"/>
        <v>6673</v>
      </c>
      <c r="AC10" s="356"/>
      <c r="AD10" s="357" t="s">
        <v>85</v>
      </c>
      <c r="AE10" s="415">
        <v>5841</v>
      </c>
      <c r="AF10" s="316">
        <v>1.0269999999999999</v>
      </c>
      <c r="AG10" s="152" t="s">
        <v>141</v>
      </c>
      <c r="AH10" s="1">
        <v>7</v>
      </c>
      <c r="AJ10" s="1" t="s">
        <v>160</v>
      </c>
      <c r="AK10" s="295" t="s">
        <v>167</v>
      </c>
    </row>
    <row r="11" spans="1:40">
      <c r="A11" s="170"/>
      <c r="B11" s="174" t="s">
        <v>36</v>
      </c>
      <c r="C11" s="288" t="s">
        <v>148</v>
      </c>
      <c r="D11" s="397" t="s">
        <v>42</v>
      </c>
      <c r="E11" s="182" t="s">
        <v>224</v>
      </c>
      <c r="F11" s="182" t="s">
        <v>224</v>
      </c>
      <c r="G11" s="182" t="s">
        <v>224</v>
      </c>
      <c r="H11" s="182" t="s">
        <v>224</v>
      </c>
      <c r="I11" s="182" t="s">
        <v>224</v>
      </c>
      <c r="J11" s="182"/>
      <c r="K11" s="183"/>
      <c r="L11" s="183"/>
      <c r="M11" s="183"/>
      <c r="N11" s="183"/>
      <c r="O11" s="183"/>
      <c r="P11" s="184"/>
      <c r="Q11" s="1" t="s">
        <v>27</v>
      </c>
      <c r="S11" s="5" t="s">
        <v>47</v>
      </c>
      <c r="T11" s="1" t="s">
        <v>15</v>
      </c>
      <c r="U11" s="17">
        <f t="shared" si="4"/>
        <v>10863</v>
      </c>
      <c r="V11" s="1">
        <f t="shared" si="5"/>
        <v>11156</v>
      </c>
      <c r="W11" s="1">
        <f t="shared" si="0"/>
        <v>11457</v>
      </c>
      <c r="X11" s="1">
        <f t="shared" si="1"/>
        <v>11766</v>
      </c>
      <c r="Y11" s="1">
        <f t="shared" si="2"/>
        <v>12084</v>
      </c>
      <c r="Z11" s="6">
        <f t="shared" si="3"/>
        <v>12410</v>
      </c>
      <c r="AC11" s="356"/>
      <c r="AD11" s="357" t="s">
        <v>84</v>
      </c>
      <c r="AE11" s="415">
        <v>10863</v>
      </c>
      <c r="AF11" s="316">
        <v>1.0269999999999999</v>
      </c>
      <c r="AG11" s="152" t="s">
        <v>142</v>
      </c>
      <c r="AH11" s="1">
        <v>8</v>
      </c>
      <c r="AJ11" s="1" t="s">
        <v>161</v>
      </c>
      <c r="AK11" s="295" t="s">
        <v>168</v>
      </c>
    </row>
    <row r="12" spans="1:40" ht="12.95" customHeight="1" thickBot="1">
      <c r="A12" s="170"/>
      <c r="B12" s="183"/>
      <c r="C12" s="91" t="s">
        <v>185</v>
      </c>
      <c r="D12" s="185"/>
      <c r="E12" s="186"/>
      <c r="F12" s="186"/>
      <c r="G12" s="186"/>
      <c r="H12" s="186"/>
      <c r="I12" s="186"/>
      <c r="J12" s="186"/>
      <c r="K12" s="187">
        <f>ROUND(D12*E12,0)</f>
        <v>0</v>
      </c>
      <c r="L12" s="187">
        <f>IF($A$1&gt;1,ROUND(D12*F12*$U$14,0),0)</f>
        <v>0</v>
      </c>
      <c r="M12" s="187">
        <f>IF($A$1&gt;2,ROUND(D12*G12*$U$14^2,0),0)</f>
        <v>0</v>
      </c>
      <c r="N12" s="187">
        <f t="shared" ref="N12:N22" si="6">IF($A$1&gt;3,ROUND(D12*H12*$U$14^3,0),0)</f>
        <v>0</v>
      </c>
      <c r="O12" s="346">
        <f>IF($A$1&gt;4,ROUND(D12*I12*$U$14^4,0),0)</f>
        <v>0</v>
      </c>
      <c r="P12" s="188">
        <f>SUM(K12:O12)</f>
        <v>0</v>
      </c>
      <c r="S12" s="5" t="s">
        <v>48</v>
      </c>
      <c r="T12" s="1" t="s">
        <v>15</v>
      </c>
      <c r="U12" s="1">
        <v>0</v>
      </c>
      <c r="V12" s="8">
        <f>ROUND(U12*AF12,0)</f>
        <v>0</v>
      </c>
      <c r="W12" s="8">
        <f>ROUND(V12*AF12,0)</f>
        <v>0</v>
      </c>
      <c r="X12" s="8">
        <f>ROUND(W12*AF12,0)</f>
        <v>0</v>
      </c>
      <c r="Y12" s="8">
        <f>ROUND(X12*AF12,0)</f>
        <v>0</v>
      </c>
      <c r="Z12" s="18">
        <f>ROUND(Y12*AF12,0)</f>
        <v>0</v>
      </c>
      <c r="AC12" s="358"/>
      <c r="AD12" s="359" t="s">
        <v>15</v>
      </c>
      <c r="AE12" s="360">
        <v>0</v>
      </c>
      <c r="AF12" s="316">
        <v>1.0269999999999999</v>
      </c>
      <c r="AJ12" s="1" t="s">
        <v>196</v>
      </c>
      <c r="AK12" s="295" t="s">
        <v>196</v>
      </c>
    </row>
    <row r="13" spans="1:40" ht="13.5" thickTop="1">
      <c r="A13" s="170"/>
      <c r="B13" s="183"/>
      <c r="C13" s="91" t="s">
        <v>155</v>
      </c>
      <c r="D13" s="185"/>
      <c r="E13" s="186"/>
      <c r="F13" s="186"/>
      <c r="G13" s="186"/>
      <c r="H13" s="186"/>
      <c r="I13" s="186"/>
      <c r="J13" s="186"/>
      <c r="K13" s="187">
        <f t="shared" ref="K13:K22" si="7">ROUND(D13*E13,0)</f>
        <v>0</v>
      </c>
      <c r="L13" s="187">
        <f t="shared" ref="L13:L22" si="8">IF($A$1&gt;1,ROUND(D13*F13*$U$14,0),0)</f>
        <v>0</v>
      </c>
      <c r="M13" s="187">
        <f t="shared" ref="M13:M22" si="9">IF($A$1&gt;2,ROUND(D13*G13*$U$14^2,0),0)</f>
        <v>0</v>
      </c>
      <c r="N13" s="187">
        <f t="shared" si="6"/>
        <v>0</v>
      </c>
      <c r="O13" s="187">
        <f t="shared" ref="O13:O22" si="10">IF($A$1&gt;4,ROUND(D13*I13*$U$14^4,0),0)</f>
        <v>0</v>
      </c>
      <c r="P13" s="188">
        <f t="shared" ref="P13:P22" si="11">SUM(K13:O13)</f>
        <v>0</v>
      </c>
      <c r="Q13" s="87"/>
      <c r="S13" s="409" t="s">
        <v>172</v>
      </c>
      <c r="T13" s="410"/>
      <c r="U13" s="411">
        <f>IF($R$8="Y",1.04,1)</f>
        <v>1.04</v>
      </c>
      <c r="AJ13" s="1" t="s">
        <v>192</v>
      </c>
      <c r="AK13" s="295" t="s">
        <v>192</v>
      </c>
    </row>
    <row r="14" spans="1:40" ht="15">
      <c r="A14" s="170"/>
      <c r="B14" s="183"/>
      <c r="C14" s="91" t="s">
        <v>155</v>
      </c>
      <c r="D14" s="185"/>
      <c r="E14" s="186"/>
      <c r="F14" s="186"/>
      <c r="G14" s="186"/>
      <c r="H14" s="186"/>
      <c r="I14" s="186"/>
      <c r="J14" s="186"/>
      <c r="K14" s="187">
        <f t="shared" si="7"/>
        <v>0</v>
      </c>
      <c r="L14" s="187">
        <f t="shared" si="8"/>
        <v>0</v>
      </c>
      <c r="M14" s="187">
        <f t="shared" si="9"/>
        <v>0</v>
      </c>
      <c r="N14" s="187">
        <f t="shared" si="6"/>
        <v>0</v>
      </c>
      <c r="O14" s="187">
        <f t="shared" si="10"/>
        <v>0</v>
      </c>
      <c r="P14" s="347">
        <f>SUM(K14:O14)</f>
        <v>0</v>
      </c>
      <c r="S14" s="407" t="s">
        <v>79</v>
      </c>
      <c r="T14" s="408"/>
      <c r="U14" s="412">
        <f>IF($R$8="Y",1.03,1)</f>
        <v>1.03</v>
      </c>
      <c r="AB14" s="317"/>
      <c r="AC14" s="317"/>
      <c r="AE14" s="317"/>
      <c r="AF14" s="317"/>
      <c r="AG14" s="317"/>
      <c r="AH14" s="315"/>
      <c r="AI14" s="315"/>
      <c r="AJ14" s="1" t="s">
        <v>158</v>
      </c>
      <c r="AK14" s="295" t="s">
        <v>165</v>
      </c>
    </row>
    <row r="15" spans="1:40">
      <c r="A15" s="170"/>
      <c r="B15" s="183"/>
      <c r="C15" s="91" t="s">
        <v>155</v>
      </c>
      <c r="D15" s="185"/>
      <c r="E15" s="186"/>
      <c r="F15" s="186"/>
      <c r="G15" s="186"/>
      <c r="H15" s="186"/>
      <c r="I15" s="186"/>
      <c r="J15" s="186"/>
      <c r="K15" s="187">
        <f t="shared" si="7"/>
        <v>0</v>
      </c>
      <c r="L15" s="187">
        <f t="shared" si="8"/>
        <v>0</v>
      </c>
      <c r="M15" s="187">
        <f t="shared" si="9"/>
        <v>0</v>
      </c>
      <c r="N15" s="187">
        <f t="shared" si="6"/>
        <v>0</v>
      </c>
      <c r="O15" s="187">
        <f t="shared" si="10"/>
        <v>0</v>
      </c>
      <c r="P15" s="189">
        <f t="shared" si="11"/>
        <v>0</v>
      </c>
      <c r="S15" s="404" t="s">
        <v>80</v>
      </c>
      <c r="T15" s="405"/>
      <c r="U15" s="406">
        <f>IF($R$9="Y",1.037,1)</f>
        <v>1.0369999999999999</v>
      </c>
      <c r="W15" s="1" t="s">
        <v>27</v>
      </c>
    </row>
    <row r="16" spans="1:40" ht="14.25" customHeight="1">
      <c r="A16" s="170"/>
      <c r="B16" s="183"/>
      <c r="C16" s="91" t="s">
        <v>155</v>
      </c>
      <c r="D16" s="185"/>
      <c r="E16" s="186"/>
      <c r="F16" s="186"/>
      <c r="G16" s="186"/>
      <c r="H16" s="186"/>
      <c r="I16" s="186"/>
      <c r="J16" s="186"/>
      <c r="K16" s="187">
        <f t="shared" si="7"/>
        <v>0</v>
      </c>
      <c r="L16" s="187">
        <f t="shared" si="8"/>
        <v>0</v>
      </c>
      <c r="M16" s="187">
        <f t="shared" si="9"/>
        <v>0</v>
      </c>
      <c r="N16" s="187">
        <f t="shared" si="6"/>
        <v>0</v>
      </c>
      <c r="O16" s="187">
        <f t="shared" si="10"/>
        <v>0</v>
      </c>
      <c r="P16" s="189">
        <f t="shared" si="11"/>
        <v>0</v>
      </c>
      <c r="S16" s="341"/>
      <c r="U16" s="403"/>
    </row>
    <row r="17" spans="1:34">
      <c r="A17" s="170"/>
      <c r="B17" s="183"/>
      <c r="C17" s="91" t="s">
        <v>155</v>
      </c>
      <c r="D17" s="185"/>
      <c r="E17" s="186"/>
      <c r="F17" s="186"/>
      <c r="G17" s="186"/>
      <c r="H17" s="186"/>
      <c r="I17" s="186"/>
      <c r="J17" s="186"/>
      <c r="K17" s="187">
        <f t="shared" si="7"/>
        <v>0</v>
      </c>
      <c r="L17" s="187">
        <f t="shared" si="8"/>
        <v>0</v>
      </c>
      <c r="M17" s="187">
        <f t="shared" si="9"/>
        <v>0</v>
      </c>
      <c r="N17" s="187">
        <f t="shared" si="6"/>
        <v>0</v>
      </c>
      <c r="O17" s="187">
        <f t="shared" si="10"/>
        <v>0</v>
      </c>
      <c r="P17" s="189">
        <f t="shared" si="11"/>
        <v>0</v>
      </c>
      <c r="AH17" s="1" t="s">
        <v>27</v>
      </c>
    </row>
    <row r="18" spans="1:34">
      <c r="A18" s="170"/>
      <c r="B18" s="183"/>
      <c r="C18" s="91" t="s">
        <v>155</v>
      </c>
      <c r="D18" s="185"/>
      <c r="E18" s="186"/>
      <c r="F18" s="186"/>
      <c r="G18" s="186"/>
      <c r="H18" s="186"/>
      <c r="I18" s="186"/>
      <c r="J18" s="186"/>
      <c r="K18" s="187">
        <f t="shared" si="7"/>
        <v>0</v>
      </c>
      <c r="L18" s="187">
        <f t="shared" si="8"/>
        <v>0</v>
      </c>
      <c r="M18" s="187">
        <f t="shared" si="9"/>
        <v>0</v>
      </c>
      <c r="N18" s="187">
        <f t="shared" si="6"/>
        <v>0</v>
      </c>
      <c r="O18" s="187">
        <f t="shared" si="10"/>
        <v>0</v>
      </c>
      <c r="P18" s="189">
        <f t="shared" si="11"/>
        <v>0</v>
      </c>
    </row>
    <row r="19" spans="1:34">
      <c r="A19" s="170"/>
      <c r="B19" s="183"/>
      <c r="C19" s="91" t="s">
        <v>155</v>
      </c>
      <c r="D19" s="185"/>
      <c r="E19" s="186"/>
      <c r="F19" s="186"/>
      <c r="G19" s="186"/>
      <c r="H19" s="186"/>
      <c r="I19" s="186"/>
      <c r="J19" s="186"/>
      <c r="K19" s="187">
        <f t="shared" si="7"/>
        <v>0</v>
      </c>
      <c r="L19" s="187">
        <f t="shared" si="8"/>
        <v>0</v>
      </c>
      <c r="M19" s="187">
        <f t="shared" si="9"/>
        <v>0</v>
      </c>
      <c r="N19" s="187">
        <f t="shared" si="6"/>
        <v>0</v>
      </c>
      <c r="O19" s="187">
        <f t="shared" si="10"/>
        <v>0</v>
      </c>
      <c r="P19" s="189">
        <f t="shared" si="11"/>
        <v>0</v>
      </c>
    </row>
    <row r="20" spans="1:34">
      <c r="A20" s="170"/>
      <c r="B20" s="190"/>
      <c r="C20" s="91" t="s">
        <v>155</v>
      </c>
      <c r="D20" s="185"/>
      <c r="E20" s="186"/>
      <c r="F20" s="186"/>
      <c r="G20" s="186"/>
      <c r="H20" s="186"/>
      <c r="I20" s="186"/>
      <c r="J20" s="186"/>
      <c r="K20" s="187">
        <f t="shared" si="7"/>
        <v>0</v>
      </c>
      <c r="L20" s="187">
        <f t="shared" si="8"/>
        <v>0</v>
      </c>
      <c r="M20" s="187">
        <f t="shared" si="9"/>
        <v>0</v>
      </c>
      <c r="N20" s="187">
        <f t="shared" si="6"/>
        <v>0</v>
      </c>
      <c r="O20" s="187">
        <f t="shared" si="10"/>
        <v>0</v>
      </c>
      <c r="P20" s="189">
        <f t="shared" si="11"/>
        <v>0</v>
      </c>
    </row>
    <row r="21" spans="1:34">
      <c r="A21" s="170"/>
      <c r="B21" s="190"/>
      <c r="C21" s="91" t="s">
        <v>155</v>
      </c>
      <c r="D21" s="185"/>
      <c r="E21" s="186"/>
      <c r="F21" s="186"/>
      <c r="G21" s="186"/>
      <c r="H21" s="186"/>
      <c r="I21" s="186"/>
      <c r="J21" s="186"/>
      <c r="K21" s="187">
        <f t="shared" si="7"/>
        <v>0</v>
      </c>
      <c r="L21" s="187">
        <f t="shared" si="8"/>
        <v>0</v>
      </c>
      <c r="M21" s="187">
        <f t="shared" si="9"/>
        <v>0</v>
      </c>
      <c r="N21" s="187">
        <f t="shared" si="6"/>
        <v>0</v>
      </c>
      <c r="O21" s="187">
        <f t="shared" si="10"/>
        <v>0</v>
      </c>
      <c r="P21" s="189">
        <f t="shared" si="11"/>
        <v>0</v>
      </c>
      <c r="V21" s="398"/>
    </row>
    <row r="22" spans="1:34">
      <c r="A22" s="170"/>
      <c r="B22" s="190"/>
      <c r="C22" s="91" t="s">
        <v>155</v>
      </c>
      <c r="D22" s="185"/>
      <c r="E22" s="186"/>
      <c r="F22" s="186"/>
      <c r="G22" s="186"/>
      <c r="H22" s="186"/>
      <c r="I22" s="186"/>
      <c r="J22" s="186"/>
      <c r="K22" s="187">
        <f t="shared" si="7"/>
        <v>0</v>
      </c>
      <c r="L22" s="187">
        <f t="shared" si="8"/>
        <v>0</v>
      </c>
      <c r="M22" s="187">
        <f t="shared" si="9"/>
        <v>0</v>
      </c>
      <c r="N22" s="187">
        <f t="shared" si="6"/>
        <v>0</v>
      </c>
      <c r="O22" s="187">
        <f t="shared" si="10"/>
        <v>0</v>
      </c>
      <c r="P22" s="189">
        <f t="shared" si="11"/>
        <v>0</v>
      </c>
    </row>
    <row r="23" spans="1:34" ht="14.25">
      <c r="A23" s="170"/>
      <c r="B23" s="179" t="s">
        <v>33</v>
      </c>
      <c r="C23" s="180"/>
      <c r="D23" s="396" t="s">
        <v>43</v>
      </c>
      <c r="E23" s="170" t="s">
        <v>37</v>
      </c>
      <c r="F23" s="170" t="s">
        <v>38</v>
      </c>
      <c r="G23" s="170" t="s">
        <v>39</v>
      </c>
      <c r="H23" s="170" t="s">
        <v>40</v>
      </c>
      <c r="I23" s="170" t="s">
        <v>41</v>
      </c>
      <c r="J23" s="170"/>
      <c r="K23" s="191"/>
      <c r="L23" s="191"/>
      <c r="M23" s="191"/>
      <c r="N23" s="191"/>
      <c r="O23" s="191"/>
      <c r="P23" s="189"/>
    </row>
    <row r="24" spans="1:34">
      <c r="A24" s="170"/>
      <c r="B24" s="192" t="s">
        <v>35</v>
      </c>
      <c r="C24" s="288" t="s">
        <v>148</v>
      </c>
      <c r="D24" s="397" t="s">
        <v>42</v>
      </c>
      <c r="E24" s="182" t="s">
        <v>224</v>
      </c>
      <c r="F24" s="182" t="s">
        <v>224</v>
      </c>
      <c r="G24" s="182" t="s">
        <v>224</v>
      </c>
      <c r="H24" s="182" t="s">
        <v>224</v>
      </c>
      <c r="I24" s="182" t="s">
        <v>224</v>
      </c>
      <c r="J24" s="182"/>
      <c r="K24" s="191"/>
      <c r="L24" s="191"/>
      <c r="M24" s="191"/>
      <c r="N24" s="191"/>
      <c r="O24" s="191"/>
      <c r="P24" s="189"/>
    </row>
    <row r="25" spans="1:34">
      <c r="A25" s="170"/>
      <c r="B25" s="185"/>
      <c r="C25" s="312" t="str">
        <f t="shared" ref="C25:C30" si="12">IF(B25="","","9 Month Faculty/Staff (SU)")</f>
        <v/>
      </c>
      <c r="D25" s="339"/>
      <c r="E25" s="186"/>
      <c r="F25" s="186"/>
      <c r="G25" s="186"/>
      <c r="H25" s="186"/>
      <c r="I25" s="186"/>
      <c r="J25" s="186"/>
      <c r="K25" s="187">
        <f t="shared" ref="K25:K30" si="13">ROUND(D25*E25,0)</f>
        <v>0</v>
      </c>
      <c r="L25" s="187">
        <f t="shared" ref="L25:L30" si="14">IF($A$1&gt;1,ROUND(D25*F25*$U$14,0),0)</f>
        <v>0</v>
      </c>
      <c r="M25" s="187">
        <f t="shared" ref="M25:M30" si="15">IF($A$1&gt;2,ROUND(D25*G25*$U$14^2,0),0)</f>
        <v>0</v>
      </c>
      <c r="N25" s="187">
        <f t="shared" ref="N25:N30" si="16">IF($A$1&gt;3,ROUND(D25*H25*$U$14^3,0),0)</f>
        <v>0</v>
      </c>
      <c r="O25" s="187">
        <f t="shared" ref="O25:O30" si="17">IF($A$1&gt;4,ROUND(D25*I25*$U$14^4,0),0)</f>
        <v>0</v>
      </c>
      <c r="P25" s="189">
        <f t="shared" ref="P25:P30" si="18">SUM(K25:O25)</f>
        <v>0</v>
      </c>
      <c r="AE25" s="1" t="s">
        <v>27</v>
      </c>
    </row>
    <row r="26" spans="1:34">
      <c r="A26" s="170"/>
      <c r="B26" s="185"/>
      <c r="C26" s="312" t="str">
        <f t="shared" si="12"/>
        <v/>
      </c>
      <c r="D26" s="185"/>
      <c r="E26" s="186"/>
      <c r="F26" s="186"/>
      <c r="G26" s="186"/>
      <c r="H26" s="186"/>
      <c r="I26" s="186"/>
      <c r="J26" s="186"/>
      <c r="K26" s="187">
        <f t="shared" si="13"/>
        <v>0</v>
      </c>
      <c r="L26" s="187">
        <f t="shared" si="14"/>
        <v>0</v>
      </c>
      <c r="M26" s="187">
        <f t="shared" si="15"/>
        <v>0</v>
      </c>
      <c r="N26" s="187">
        <f t="shared" si="16"/>
        <v>0</v>
      </c>
      <c r="O26" s="187">
        <f t="shared" si="17"/>
        <v>0</v>
      </c>
      <c r="P26" s="189">
        <f t="shared" si="18"/>
        <v>0</v>
      </c>
      <c r="AD26" s="1" t="s">
        <v>27</v>
      </c>
    </row>
    <row r="27" spans="1:34">
      <c r="A27" s="170"/>
      <c r="B27" s="185"/>
      <c r="C27" s="312" t="str">
        <f t="shared" si="12"/>
        <v/>
      </c>
      <c r="D27" s="185"/>
      <c r="E27" s="186"/>
      <c r="F27" s="186"/>
      <c r="G27" s="186"/>
      <c r="H27" s="186"/>
      <c r="I27" s="186"/>
      <c r="J27" s="186"/>
      <c r="K27" s="187">
        <f t="shared" si="13"/>
        <v>0</v>
      </c>
      <c r="L27" s="187">
        <f t="shared" si="14"/>
        <v>0</v>
      </c>
      <c r="M27" s="187">
        <f t="shared" si="15"/>
        <v>0</v>
      </c>
      <c r="N27" s="187">
        <f t="shared" si="16"/>
        <v>0</v>
      </c>
      <c r="O27" s="187">
        <f t="shared" si="17"/>
        <v>0</v>
      </c>
      <c r="P27" s="189">
        <f t="shared" si="18"/>
        <v>0</v>
      </c>
      <c r="T27" s="93"/>
      <c r="AD27" s="1" t="s">
        <v>27</v>
      </c>
    </row>
    <row r="28" spans="1:34">
      <c r="A28" s="170"/>
      <c r="B28" s="185"/>
      <c r="C28" s="312" t="str">
        <f t="shared" si="12"/>
        <v/>
      </c>
      <c r="D28" s="185"/>
      <c r="E28" s="186"/>
      <c r="F28" s="186"/>
      <c r="G28" s="186"/>
      <c r="H28" s="186"/>
      <c r="I28" s="186"/>
      <c r="J28" s="186"/>
      <c r="K28" s="187">
        <f t="shared" si="13"/>
        <v>0</v>
      </c>
      <c r="L28" s="187">
        <f t="shared" si="14"/>
        <v>0</v>
      </c>
      <c r="M28" s="187">
        <f t="shared" si="15"/>
        <v>0</v>
      </c>
      <c r="N28" s="187">
        <f t="shared" si="16"/>
        <v>0</v>
      </c>
      <c r="O28" s="187">
        <f t="shared" si="17"/>
        <v>0</v>
      </c>
      <c r="P28" s="189">
        <f t="shared" si="18"/>
        <v>0</v>
      </c>
      <c r="V28" s="14"/>
    </row>
    <row r="29" spans="1:34">
      <c r="A29" s="170"/>
      <c r="B29" s="185"/>
      <c r="C29" s="312" t="str">
        <f t="shared" si="12"/>
        <v/>
      </c>
      <c r="D29" s="185"/>
      <c r="E29" s="186"/>
      <c r="F29" s="186"/>
      <c r="G29" s="186"/>
      <c r="H29" s="186"/>
      <c r="I29" s="186"/>
      <c r="J29" s="186"/>
      <c r="K29" s="187">
        <f t="shared" si="13"/>
        <v>0</v>
      </c>
      <c r="L29" s="187">
        <f t="shared" si="14"/>
        <v>0</v>
      </c>
      <c r="M29" s="187">
        <f t="shared" si="15"/>
        <v>0</v>
      </c>
      <c r="N29" s="187">
        <f t="shared" si="16"/>
        <v>0</v>
      </c>
      <c r="O29" s="187">
        <f t="shared" si="17"/>
        <v>0</v>
      </c>
      <c r="P29" s="189">
        <f t="shared" si="18"/>
        <v>0</v>
      </c>
      <c r="T29" s="15"/>
    </row>
    <row r="30" spans="1:34">
      <c r="A30" s="170"/>
      <c r="B30" s="185"/>
      <c r="C30" s="312" t="str">
        <f t="shared" si="12"/>
        <v/>
      </c>
      <c r="D30" s="185"/>
      <c r="E30" s="186"/>
      <c r="F30" s="186"/>
      <c r="G30" s="186"/>
      <c r="H30" s="186"/>
      <c r="I30" s="186"/>
      <c r="J30" s="186"/>
      <c r="K30" s="187">
        <f t="shared" si="13"/>
        <v>0</v>
      </c>
      <c r="L30" s="187">
        <f t="shared" si="14"/>
        <v>0</v>
      </c>
      <c r="M30" s="187">
        <f t="shared" si="15"/>
        <v>0</v>
      </c>
      <c r="N30" s="187">
        <f t="shared" si="16"/>
        <v>0</v>
      </c>
      <c r="O30" s="187">
        <f t="shared" si="17"/>
        <v>0</v>
      </c>
      <c r="P30" s="189">
        <f t="shared" si="18"/>
        <v>0</v>
      </c>
    </row>
    <row r="31" spans="1:34">
      <c r="A31" s="170"/>
      <c r="B31" s="169"/>
      <c r="C31" s="288"/>
      <c r="D31" s="193"/>
      <c r="E31" s="193"/>
      <c r="F31" s="193"/>
      <c r="G31" s="193"/>
      <c r="H31" s="193"/>
      <c r="I31" s="194"/>
      <c r="J31" s="194"/>
      <c r="K31" s="195"/>
      <c r="L31" s="195"/>
      <c r="M31" s="195"/>
      <c r="N31" s="195"/>
      <c r="O31" s="195"/>
      <c r="P31" s="196"/>
      <c r="R31" s="10"/>
    </row>
    <row r="32" spans="1:34" ht="15.6" customHeight="1">
      <c r="A32" s="170"/>
      <c r="B32" s="183" t="s">
        <v>44</v>
      </c>
      <c r="C32" s="185"/>
      <c r="D32" s="185"/>
      <c r="E32" s="185"/>
      <c r="F32" s="185"/>
      <c r="G32" s="185"/>
      <c r="H32" s="185"/>
      <c r="I32" s="197"/>
      <c r="J32" s="197"/>
      <c r="K32" s="187"/>
      <c r="L32" s="187">
        <f>IF($A$1&gt;1,ROUND(K32*$U$14,0),0)</f>
        <v>0</v>
      </c>
      <c r="M32" s="187">
        <f>IF($A$1&gt;2,ROUND(L32*$U$14,0),0)</f>
        <v>0</v>
      </c>
      <c r="N32" s="187">
        <f>IF($A$1&gt;3,ROUND(M32*$U$14,0),0)</f>
        <v>0</v>
      </c>
      <c r="O32" s="187">
        <f>IF($A$1&gt;4,ROUND(N32*$U$14,0),0)</f>
        <v>0</v>
      </c>
      <c r="P32" s="189">
        <f>SUM(K32:O32)</f>
        <v>0</v>
      </c>
    </row>
    <row r="33" spans="1:26">
      <c r="A33" s="170"/>
      <c r="B33" s="183" t="s">
        <v>125</v>
      </c>
      <c r="C33" s="185"/>
      <c r="D33" s="185"/>
      <c r="E33" s="185"/>
      <c r="F33" s="185"/>
      <c r="G33" s="185"/>
      <c r="H33" s="185"/>
      <c r="I33" s="197"/>
      <c r="J33" s="197"/>
      <c r="K33" s="187">
        <v>0</v>
      </c>
      <c r="L33" s="187">
        <f>IF($A$1&gt;1,ROUND(K33*$U$14,0),0)</f>
        <v>0</v>
      </c>
      <c r="M33" s="187">
        <f>IF($A$1&gt;2,ROUND(L33*$U$14,0),0)</f>
        <v>0</v>
      </c>
      <c r="N33" s="187">
        <f>IF($A$1&gt;3,ROUND(M33*$U$14,0),0)</f>
        <v>0</v>
      </c>
      <c r="O33" s="187">
        <f>IF($A$1&gt;4,ROUND(N33*$U$14,0),0)</f>
        <v>0</v>
      </c>
      <c r="P33" s="189">
        <f>SUM(K33:O33)</f>
        <v>0</v>
      </c>
      <c r="V33" s="14"/>
    </row>
    <row r="34" spans="1:26">
      <c r="A34" s="170"/>
      <c r="B34" s="169"/>
      <c r="C34" s="169"/>
      <c r="D34" s="193"/>
      <c r="E34" s="193"/>
      <c r="F34" s="193"/>
      <c r="G34" s="193"/>
      <c r="H34" s="193"/>
      <c r="I34" s="194"/>
      <c r="J34" s="194"/>
      <c r="K34" s="195"/>
      <c r="L34" s="195"/>
      <c r="M34" s="195"/>
      <c r="N34" s="195"/>
      <c r="O34" s="195"/>
      <c r="P34" s="196"/>
    </row>
    <row r="35" spans="1:26" ht="14.25">
      <c r="A35" s="170"/>
      <c r="B35" s="179" t="s">
        <v>177</v>
      </c>
      <c r="C35" s="180"/>
      <c r="D35" s="180" t="s">
        <v>43</v>
      </c>
      <c r="E35" s="170" t="s">
        <v>37</v>
      </c>
      <c r="F35" s="170" t="s">
        <v>38</v>
      </c>
      <c r="G35" s="170" t="s">
        <v>39</v>
      </c>
      <c r="H35" s="170" t="s">
        <v>40</v>
      </c>
      <c r="I35" s="170" t="s">
        <v>41</v>
      </c>
      <c r="J35" s="170"/>
      <c r="K35" s="187"/>
      <c r="L35" s="187"/>
      <c r="M35" s="187"/>
      <c r="N35" s="187"/>
      <c r="O35" s="187"/>
      <c r="P35" s="188"/>
      <c r="V35" s="15"/>
    </row>
    <row r="36" spans="1:26">
      <c r="A36" s="170"/>
      <c r="B36" s="192" t="s">
        <v>179</v>
      </c>
      <c r="C36" s="185"/>
      <c r="D36" s="181" t="s">
        <v>53</v>
      </c>
      <c r="E36" s="182" t="s">
        <v>45</v>
      </c>
      <c r="F36" s="182" t="s">
        <v>45</v>
      </c>
      <c r="G36" s="182" t="s">
        <v>45</v>
      </c>
      <c r="H36" s="182" t="s">
        <v>45</v>
      </c>
      <c r="I36" s="182" t="s">
        <v>45</v>
      </c>
      <c r="J36" s="182"/>
      <c r="K36" s="187"/>
      <c r="L36" s="187"/>
      <c r="M36" s="187"/>
      <c r="N36" s="187"/>
      <c r="O36" s="187"/>
      <c r="P36" s="188"/>
    </row>
    <row r="37" spans="1:26">
      <c r="A37" s="170"/>
      <c r="B37" s="183" t="s">
        <v>175</v>
      </c>
      <c r="C37" s="185"/>
      <c r="D37" s="185"/>
      <c r="E37" s="186"/>
      <c r="F37" s="186"/>
      <c r="G37" s="186"/>
      <c r="H37" s="186"/>
      <c r="I37" s="186"/>
      <c r="J37" s="186"/>
      <c r="K37" s="198">
        <f>ROUND($D$37*E37*E39/3,0)</f>
        <v>0</v>
      </c>
      <c r="L37" s="198">
        <f>IF($A$1&gt;1,ROUND($U$13*$D$37*F37*F39/3,0),0)</f>
        <v>0</v>
      </c>
      <c r="M37" s="198">
        <f>IF($A$1&gt;2,ROUND($U$13^2*$D$37*G37*G39/3,0),0)</f>
        <v>0</v>
      </c>
      <c r="N37" s="198">
        <f>IF($A$1&gt;3,ROUND($U$13^3*$D$37*H37*H39/3,0),0)</f>
        <v>0</v>
      </c>
      <c r="O37" s="198">
        <f>IF($A$1&gt;4,ROUND($U$13^4*$D$37*I37*I39/3,0),0)</f>
        <v>0</v>
      </c>
      <c r="P37" s="189">
        <f>SUM(K37:O37)</f>
        <v>0</v>
      </c>
    </row>
    <row r="38" spans="1:26">
      <c r="A38" s="170"/>
      <c r="B38" s="183" t="s">
        <v>176</v>
      </c>
      <c r="C38" s="185"/>
      <c r="D38" s="199" t="s">
        <v>49</v>
      </c>
      <c r="E38" s="186"/>
      <c r="F38" s="186"/>
      <c r="G38" s="186"/>
      <c r="H38" s="186"/>
      <c r="I38" s="186"/>
      <c r="J38" s="186"/>
      <c r="K38" s="198">
        <f>ROUND($D$37*E40*E38/3,0)</f>
        <v>0</v>
      </c>
      <c r="L38" s="198">
        <f>IF($A$1&gt;1,ROUND($U$13*$D$37*F40*F38/3,0),0)</f>
        <v>0</v>
      </c>
      <c r="M38" s="198">
        <f>IF($A$1&gt;2,ROUND($U$13^2*$D$37*G40*G38/3,0),0)</f>
        <v>0</v>
      </c>
      <c r="N38" s="198">
        <f>IF($A$1&gt;3,ROUND($U$13^3*$D$37*H40*H38/3,0),0)</f>
        <v>0</v>
      </c>
      <c r="O38" s="198">
        <f>IF($A$1&gt;4,ROUND($U$13^4*$D$37*I40*I38/3,0),0)</f>
        <v>0</v>
      </c>
      <c r="P38" s="189">
        <f>SUM(K38:O38)</f>
        <v>0</v>
      </c>
    </row>
    <row r="39" spans="1:26" ht="13.5">
      <c r="A39" s="170"/>
      <c r="B39" s="200"/>
      <c r="C39" s="201"/>
      <c r="D39" s="202" t="s">
        <v>77</v>
      </c>
      <c r="E39" s="203"/>
      <c r="F39" s="203"/>
      <c r="G39" s="203"/>
      <c r="H39" s="203"/>
      <c r="I39" s="203"/>
      <c r="J39" s="181"/>
      <c r="K39" s="187"/>
      <c r="L39" s="187"/>
      <c r="M39" s="187"/>
      <c r="N39" s="187"/>
      <c r="O39" s="187"/>
      <c r="P39" s="188"/>
    </row>
    <row r="40" spans="1:26">
      <c r="A40" s="170"/>
      <c r="B40" s="204"/>
      <c r="C40" s="201"/>
      <c r="D40" s="202" t="s">
        <v>78</v>
      </c>
      <c r="E40" s="203"/>
      <c r="F40" s="203"/>
      <c r="G40" s="203"/>
      <c r="H40" s="203"/>
      <c r="I40" s="203"/>
      <c r="J40" s="181"/>
      <c r="K40" s="187"/>
      <c r="L40" s="187"/>
      <c r="M40" s="187"/>
      <c r="N40" s="187"/>
      <c r="O40" s="187"/>
      <c r="P40" s="188"/>
    </row>
    <row r="41" spans="1:26">
      <c r="A41" s="170"/>
      <c r="B41" s="169"/>
      <c r="C41" s="169"/>
      <c r="D41" s="193"/>
      <c r="E41" s="193"/>
      <c r="F41" s="193"/>
      <c r="G41" s="193"/>
      <c r="H41" s="193"/>
      <c r="I41" s="194"/>
      <c r="J41" s="194"/>
      <c r="K41" s="195"/>
      <c r="L41" s="195"/>
      <c r="M41" s="195"/>
      <c r="N41" s="195"/>
      <c r="O41" s="195"/>
      <c r="P41" s="196"/>
    </row>
    <row r="42" spans="1:26" ht="14.25">
      <c r="A42" s="170"/>
      <c r="B42" s="179" t="s">
        <v>178</v>
      </c>
      <c r="C42" s="180"/>
      <c r="D42" s="180" t="s">
        <v>43</v>
      </c>
      <c r="E42" s="170" t="s">
        <v>37</v>
      </c>
      <c r="F42" s="170" t="s">
        <v>38</v>
      </c>
      <c r="G42" s="170" t="s">
        <v>39</v>
      </c>
      <c r="H42" s="170" t="s">
        <v>40</v>
      </c>
      <c r="I42" s="170" t="s">
        <v>41</v>
      </c>
      <c r="J42" s="170"/>
      <c r="K42" s="187"/>
      <c r="L42" s="187"/>
      <c r="M42" s="187"/>
      <c r="N42" s="187"/>
      <c r="O42" s="187"/>
      <c r="P42" s="188"/>
      <c r="R42" s="333"/>
      <c r="S42" s="333"/>
      <c r="T42" s="333"/>
      <c r="U42" s="333"/>
      <c r="V42" s="333"/>
      <c r="W42" s="333"/>
      <c r="X42" s="333"/>
      <c r="Y42" s="15"/>
      <c r="Z42" s="15"/>
    </row>
    <row r="43" spans="1:26">
      <c r="A43" s="170"/>
      <c r="B43" s="192" t="s">
        <v>179</v>
      </c>
      <c r="C43" s="185"/>
      <c r="D43" s="181" t="s">
        <v>53</v>
      </c>
      <c r="E43" s="182" t="s">
        <v>45</v>
      </c>
      <c r="F43" s="182" t="s">
        <v>45</v>
      </c>
      <c r="G43" s="182" t="s">
        <v>45</v>
      </c>
      <c r="H43" s="182" t="s">
        <v>45</v>
      </c>
      <c r="I43" s="182" t="s">
        <v>45</v>
      </c>
      <c r="J43" s="182"/>
      <c r="K43" s="198"/>
      <c r="L43" s="191"/>
      <c r="M43" s="191"/>
      <c r="N43" s="191"/>
      <c r="O43" s="191"/>
      <c r="P43" s="189"/>
      <c r="Q43" s="1" t="s">
        <v>27</v>
      </c>
      <c r="R43" s="333"/>
      <c r="S43" s="333"/>
      <c r="T43" s="333"/>
      <c r="U43" s="333"/>
      <c r="V43" s="333"/>
      <c r="W43" s="333"/>
      <c r="X43" s="333"/>
      <c r="Y43" s="15"/>
      <c r="Z43" s="15"/>
    </row>
    <row r="44" spans="1:26">
      <c r="A44" s="170"/>
      <c r="B44" s="183" t="s">
        <v>175</v>
      </c>
      <c r="C44" s="185"/>
      <c r="D44" s="185"/>
      <c r="E44" s="186"/>
      <c r="F44" s="186"/>
      <c r="G44" s="186"/>
      <c r="H44" s="186"/>
      <c r="I44" s="186"/>
      <c r="J44" s="186"/>
      <c r="K44" s="198">
        <f>ROUND($D$44*E44*E46/3,0)</f>
        <v>0</v>
      </c>
      <c r="L44" s="198">
        <f>IF($A$1&gt;1,ROUND($U$13*$D$44*F44*F46/3,0),0)</f>
        <v>0</v>
      </c>
      <c r="M44" s="198">
        <f>IF($A$1&gt;2,ROUND($U$13^2*$D$44*G44*G46/3,0),0)</f>
        <v>0</v>
      </c>
      <c r="N44" s="198">
        <f>IF($A$1&gt;3,ROUND($U$13^3*$D$44*H44*H46/3,0),0)</f>
        <v>0</v>
      </c>
      <c r="O44" s="198">
        <f>IF($A$1&gt;4,ROUND($U$13^4*$D$44*I44*I46/3,0),0)</f>
        <v>0</v>
      </c>
      <c r="P44" s="189">
        <f>SUM(K44:O44)</f>
        <v>0</v>
      </c>
      <c r="R44" s="333"/>
      <c r="S44" s="333"/>
      <c r="T44" s="333"/>
      <c r="U44" s="333"/>
      <c r="V44" s="333"/>
      <c r="W44" s="333"/>
      <c r="X44" s="333"/>
    </row>
    <row r="45" spans="1:26">
      <c r="A45" s="170"/>
      <c r="B45" s="183" t="s">
        <v>176</v>
      </c>
      <c r="C45" s="185"/>
      <c r="D45" s="199" t="s">
        <v>49</v>
      </c>
      <c r="E45" s="186"/>
      <c r="F45" s="186"/>
      <c r="G45" s="186"/>
      <c r="H45" s="186"/>
      <c r="I45" s="186"/>
      <c r="J45" s="186"/>
      <c r="K45" s="198">
        <f>ROUND($D$44*E47*E45/3,0)</f>
        <v>0</v>
      </c>
      <c r="L45" s="198">
        <f>IF($A$1&gt;1,ROUND($U$13*$D$44*F47*F45/3,0),0)</f>
        <v>0</v>
      </c>
      <c r="M45" s="198">
        <f>IF($A$1&gt;2,ROUND($U$13^2*$D$44*G47*G45/3,0),0)</f>
        <v>0</v>
      </c>
      <c r="N45" s="198">
        <f>IF($A$1&gt;3,ROUND($U$13^3*$D$44*H47*H45/3,0),0)</f>
        <v>0</v>
      </c>
      <c r="O45" s="198">
        <f>IF($A$1&gt;4,ROUND($U$13^4*$D$44*I47*I45/3,0),0)</f>
        <v>0</v>
      </c>
      <c r="P45" s="189">
        <f>SUM(K45:O45)</f>
        <v>0</v>
      </c>
      <c r="R45" s="333"/>
      <c r="S45" s="333"/>
      <c r="T45" s="333"/>
      <c r="U45" s="333"/>
      <c r="V45" s="333"/>
      <c r="W45" s="333"/>
      <c r="X45" s="333"/>
    </row>
    <row r="46" spans="1:26" ht="13.5">
      <c r="A46" s="170"/>
      <c r="B46" s="200"/>
      <c r="C46" s="201"/>
      <c r="D46" s="202" t="s">
        <v>77</v>
      </c>
      <c r="E46" s="203"/>
      <c r="F46" s="203"/>
      <c r="G46" s="203"/>
      <c r="H46" s="203"/>
      <c r="I46" s="203"/>
      <c r="J46" s="181"/>
      <c r="K46" s="198"/>
      <c r="L46" s="191"/>
      <c r="M46" s="191"/>
      <c r="N46" s="191"/>
      <c r="O46" s="191"/>
      <c r="P46" s="189"/>
      <c r="R46" s="333"/>
      <c r="S46" s="333"/>
      <c r="T46" s="333"/>
      <c r="U46" s="333"/>
      <c r="V46" s="333"/>
      <c r="W46" s="333"/>
      <c r="X46" s="333"/>
    </row>
    <row r="47" spans="1:26">
      <c r="A47" s="170"/>
      <c r="B47" s="204"/>
      <c r="C47" s="201"/>
      <c r="D47" s="202" t="s">
        <v>78</v>
      </c>
      <c r="E47" s="203"/>
      <c r="F47" s="203"/>
      <c r="G47" s="203"/>
      <c r="H47" s="203"/>
      <c r="I47" s="203"/>
      <c r="J47" s="181"/>
      <c r="K47" s="198"/>
      <c r="L47" s="191"/>
      <c r="M47" s="191"/>
      <c r="N47" s="191"/>
      <c r="O47" s="191"/>
      <c r="P47" s="189"/>
      <c r="R47" s="333"/>
      <c r="S47" s="333"/>
      <c r="T47" s="333"/>
      <c r="U47" s="333"/>
      <c r="V47" s="333"/>
      <c r="W47" s="333"/>
      <c r="X47" s="333"/>
    </row>
    <row r="48" spans="1:26" ht="13.5">
      <c r="A48" s="170"/>
      <c r="B48" s="205"/>
      <c r="C48" s="205"/>
      <c r="D48" s="206"/>
      <c r="E48" s="206"/>
      <c r="F48" s="206"/>
      <c r="G48" s="206"/>
      <c r="H48" s="206"/>
      <c r="I48" s="206"/>
      <c r="J48" s="206" t="s">
        <v>46</v>
      </c>
      <c r="K48" s="207">
        <f>SUM(K12:K47)</f>
        <v>0</v>
      </c>
      <c r="L48" s="207">
        <f>IF($A$1&gt;1,SUM(L12:L47),0)</f>
        <v>0</v>
      </c>
      <c r="M48" s="207">
        <f>IF($A$1&gt;2,SUM(M12:M47),0)</f>
        <v>0</v>
      </c>
      <c r="N48" s="207">
        <f>IF($A$1&gt;3,SUM(N12:N47),0)</f>
        <v>0</v>
      </c>
      <c r="O48" s="207">
        <f>IF($A$1&gt;4,SUM(O12:O47),0)</f>
        <v>0</v>
      </c>
      <c r="P48" s="208">
        <f>SUM(K48:O48)</f>
        <v>0</v>
      </c>
      <c r="Q48" s="15"/>
      <c r="R48" s="333"/>
      <c r="S48" s="333"/>
      <c r="T48" s="333"/>
      <c r="U48" s="333"/>
      <c r="V48" s="333"/>
      <c r="W48" s="333"/>
      <c r="X48" s="333"/>
    </row>
    <row r="49" spans="1:24" ht="14.25">
      <c r="A49" s="170"/>
      <c r="B49" s="179" t="s">
        <v>33</v>
      </c>
      <c r="C49" s="179"/>
      <c r="D49" s="185"/>
      <c r="E49" s="185"/>
      <c r="F49" s="185"/>
      <c r="G49" s="185"/>
      <c r="H49" s="185"/>
      <c r="I49" s="183"/>
      <c r="J49" s="183"/>
      <c r="K49" s="198"/>
      <c r="L49" s="198"/>
      <c r="M49" s="198"/>
      <c r="N49" s="198"/>
      <c r="O49" s="198"/>
      <c r="P49" s="189"/>
      <c r="R49" s="333"/>
      <c r="S49" s="333"/>
      <c r="T49" s="333"/>
      <c r="U49" s="333"/>
      <c r="V49" s="333"/>
      <c r="W49" s="333"/>
      <c r="X49" s="333"/>
    </row>
    <row r="50" spans="1:24" ht="14.25">
      <c r="A50" s="170"/>
      <c r="B50" s="179" t="s">
        <v>25</v>
      </c>
      <c r="C50" s="179"/>
      <c r="D50" s="185"/>
      <c r="E50" s="185"/>
      <c r="F50" s="185"/>
      <c r="G50" s="185"/>
      <c r="H50" s="185"/>
      <c r="I50" s="209"/>
      <c r="J50" s="209"/>
      <c r="K50" s="198"/>
      <c r="L50" s="198"/>
      <c r="M50" s="198"/>
      <c r="N50" s="198"/>
      <c r="O50" s="198"/>
      <c r="P50" s="189"/>
      <c r="R50" s="333"/>
      <c r="S50" s="333"/>
      <c r="T50" s="333"/>
      <c r="U50" s="333"/>
      <c r="V50" s="333"/>
      <c r="W50" s="333"/>
      <c r="X50" s="333"/>
    </row>
    <row r="51" spans="1:24">
      <c r="A51" s="170"/>
      <c r="B51" s="174" t="s">
        <v>29</v>
      </c>
      <c r="C51" s="288" t="s">
        <v>148</v>
      </c>
      <c r="D51" s="185"/>
      <c r="E51" s="185"/>
      <c r="F51" s="185"/>
      <c r="G51" s="185"/>
      <c r="H51" s="185"/>
      <c r="I51" s="209"/>
      <c r="J51" s="209"/>
      <c r="K51" s="198"/>
      <c r="L51" s="198"/>
      <c r="M51" s="198"/>
      <c r="N51" s="198"/>
      <c r="O51" s="198"/>
      <c r="P51" s="189"/>
      <c r="R51" s="333"/>
      <c r="S51" s="333"/>
      <c r="T51" s="333"/>
      <c r="U51" s="333"/>
      <c r="V51" s="333"/>
      <c r="W51" s="333"/>
      <c r="X51" s="333"/>
    </row>
    <row r="52" spans="1:24">
      <c r="A52" s="170"/>
      <c r="B52" s="210" t="str">
        <f t="shared" ref="B52:B62" si="19">IF(B12="","",B12)</f>
        <v/>
      </c>
      <c r="C52" s="312" t="str">
        <f>IF(C12="Select Employee Class","",C12)</f>
        <v>12 Month Faculty, w/ appt. .5+ FTE &amp; Hrly</v>
      </c>
      <c r="D52" s="211"/>
      <c r="E52" s="211"/>
      <c r="F52" s="211"/>
      <c r="G52" s="211"/>
      <c r="H52" s="211"/>
      <c r="J52" s="310" t="str">
        <f>IF(B52="","",VLOOKUP(VLOOKUP(C52,$AJ$6:$AK$13,2,FALSE),'Eclass OPE Rates'!$A$26:$F$33,2,FALSE))</f>
        <v/>
      </c>
      <c r="K52" s="212">
        <f>IF($C52="",0,ROUND(K12*VLOOKUP(VLOOKUP($C52,'R&amp;R Generic Detailed Budget'!$AJ$6:$AK$13,2,FALSE),'Eclass OPE Rates'!$A$26:$F$33,2,FALSE),0))</f>
        <v>0</v>
      </c>
      <c r="L52" s="212">
        <f>IF($C52="",0,ROUND(L12*VLOOKUP(VLOOKUP($C52,'R&amp;R Generic Detailed Budget'!$AJ$6:$AK$13,2,FALSE),'Eclass OPE Rates'!$A$26:$F$33,3,FALSE),0))</f>
        <v>0</v>
      </c>
      <c r="M52" s="212">
        <f>IF($C52="",0,ROUND(M12*VLOOKUP(VLOOKUP($C52,'R&amp;R Generic Detailed Budget'!$AJ$6:$AK$13,2,FALSE),'Eclass OPE Rates'!$A$26:$F$33,4,FALSE),0))</f>
        <v>0</v>
      </c>
      <c r="N52" s="212">
        <f>IF($C52="",0,ROUND(N12*VLOOKUP(VLOOKUP($C52,'R&amp;R Generic Detailed Budget'!$AJ$6:$AK$13,2,FALSE),'Eclass OPE Rates'!$A$26:$F$33,5,FALSE),0))</f>
        <v>0</v>
      </c>
      <c r="O52" s="212">
        <f>IF($C52="",0,ROUND(O12*VLOOKUP(VLOOKUP($C52,'R&amp;R Generic Detailed Budget'!$AJ$6:$AK$13,2,FALSE),'Eclass OPE Rates'!$A$26:$F$33,6,FALSE),0))</f>
        <v>0</v>
      </c>
      <c r="P52" s="188">
        <f>SUM(K52:O52)</f>
        <v>0</v>
      </c>
      <c r="Q52" s="87"/>
      <c r="R52" s="333"/>
      <c r="S52" s="333"/>
      <c r="T52" s="333"/>
      <c r="U52" s="333"/>
      <c r="V52" s="333"/>
      <c r="W52" s="333"/>
      <c r="X52" s="333"/>
    </row>
    <row r="53" spans="1:24" ht="11.45" customHeight="1">
      <c r="A53" s="170"/>
      <c r="B53" s="210" t="str">
        <f t="shared" si="19"/>
        <v/>
      </c>
      <c r="C53" s="312" t="str">
        <f t="shared" ref="C53:C62" si="20">IF(C13="Select Employee Class","",C13)</f>
        <v/>
      </c>
      <c r="D53" s="201"/>
      <c r="E53" s="201"/>
      <c r="F53" s="201"/>
      <c r="G53" s="201"/>
      <c r="H53" s="201"/>
      <c r="J53" s="298" t="str">
        <f>IF(B53="","",VLOOKUP(VLOOKUP(C53,$AJ$6:$AK$13,2,FALSE),'Eclass OPE Rates'!$A$26:$F$33,2,FALSE))</f>
        <v/>
      </c>
      <c r="K53" s="212">
        <f>IF($C53="",0,ROUND(K13*VLOOKUP(VLOOKUP($C53,'R&amp;R Generic Detailed Budget'!$AJ$6:$AK$13,2,FALSE),'Eclass OPE Rates'!$A$26:$F$33,2,FALSE),0))</f>
        <v>0</v>
      </c>
      <c r="L53" s="212">
        <f>IF($C53="",0,ROUND(L13*VLOOKUP(VLOOKUP($C53,'R&amp;R Generic Detailed Budget'!$AJ$6:$AK$13,2,FALSE),'Eclass OPE Rates'!$A$26:$F$33,3,FALSE),0))</f>
        <v>0</v>
      </c>
      <c r="M53" s="212">
        <f>IF($C53="",0,ROUND(M13*VLOOKUP(VLOOKUP($C53,'R&amp;R Generic Detailed Budget'!$AJ$6:$AK$13,2,FALSE),'Eclass OPE Rates'!$A$26:$F$33,4,FALSE),0))</f>
        <v>0</v>
      </c>
      <c r="N53" s="212">
        <f>IF($C53="",0,ROUND(N13*VLOOKUP(VLOOKUP($C53,'R&amp;R Generic Detailed Budget'!$AJ$6:$AK$13,2,FALSE),'Eclass OPE Rates'!$A$26:$F$33,5,FALSE),0))</f>
        <v>0</v>
      </c>
      <c r="O53" s="212">
        <f>IF($C53="",0,ROUND(O13*VLOOKUP(VLOOKUP($C53,'R&amp;R Generic Detailed Budget'!$AJ$6:$AK$13,2,FALSE),'Eclass OPE Rates'!$A$26:$F$33,6,FALSE),0))</f>
        <v>0</v>
      </c>
      <c r="P53" s="188">
        <f>SUM(K53:O53)</f>
        <v>0</v>
      </c>
      <c r="Q53" s="87"/>
      <c r="R53" s="333"/>
      <c r="S53" s="333"/>
      <c r="T53" s="333"/>
      <c r="U53" s="333"/>
      <c r="V53" s="333"/>
      <c r="W53" s="333"/>
      <c r="X53" s="333"/>
    </row>
    <row r="54" spans="1:24">
      <c r="A54" s="170"/>
      <c r="B54" s="210" t="str">
        <f t="shared" si="19"/>
        <v/>
      </c>
      <c r="C54" s="312" t="str">
        <f t="shared" si="20"/>
        <v/>
      </c>
      <c r="D54" s="201"/>
      <c r="E54" s="201"/>
      <c r="F54" s="201"/>
      <c r="G54" s="201"/>
      <c r="H54" s="201"/>
      <c r="J54" s="298" t="str">
        <f>IF(B54="","",VLOOKUP(VLOOKUP(C54,$AJ$6:$AK$13,2,FALSE),'Eclass OPE Rates'!$A$26:$F$33,2,FALSE))</f>
        <v/>
      </c>
      <c r="K54" s="212">
        <f>IF($C54="",0,ROUND(K14*VLOOKUP(VLOOKUP($C54,'R&amp;R Generic Detailed Budget'!$AJ$6:$AK$13,2,FALSE),'Eclass OPE Rates'!$A$26:$F$33,2,FALSE),0))</f>
        <v>0</v>
      </c>
      <c r="L54" s="212">
        <f>IF($C54="",0,ROUND(L14*VLOOKUP(VLOOKUP($C54,'R&amp;R Generic Detailed Budget'!$AJ$6:$AK$13,2,FALSE),'Eclass OPE Rates'!$A$26:$F$33,3,FALSE),0))</f>
        <v>0</v>
      </c>
      <c r="M54" s="212">
        <f>IF($C54="",0,ROUND(M14*VLOOKUP(VLOOKUP($C54,'R&amp;R Generic Detailed Budget'!$AJ$6:$AK$13,2,FALSE),'Eclass OPE Rates'!$A$26:$F$33,4,FALSE),0))</f>
        <v>0</v>
      </c>
      <c r="N54" s="212">
        <f>IF($C54="",0,ROUND(N14*VLOOKUP(VLOOKUP($C54,'R&amp;R Generic Detailed Budget'!$AJ$6:$AK$13,2,FALSE),'Eclass OPE Rates'!$A$26:$F$33,5,FALSE),0))</f>
        <v>0</v>
      </c>
      <c r="O54" s="212">
        <f>IF($C54="",0,ROUND(O14*VLOOKUP(VLOOKUP($C54,'R&amp;R Generic Detailed Budget'!$AJ$6:$AK$13,2,FALSE),'Eclass OPE Rates'!$A$26:$F$33,6,FALSE),0))</f>
        <v>0</v>
      </c>
      <c r="P54" s="188">
        <f t="shared" ref="P54:P62" si="21">SUM(K54:O54)</f>
        <v>0</v>
      </c>
      <c r="R54" s="333"/>
      <c r="S54" s="333"/>
      <c r="T54" s="333"/>
      <c r="U54" s="333"/>
      <c r="V54" s="333"/>
      <c r="W54" s="333"/>
      <c r="X54" s="333"/>
    </row>
    <row r="55" spans="1:24">
      <c r="A55" s="170"/>
      <c r="B55" s="210" t="str">
        <f t="shared" si="19"/>
        <v/>
      </c>
      <c r="C55" s="312" t="str">
        <f t="shared" si="20"/>
        <v/>
      </c>
      <c r="D55" s="201"/>
      <c r="E55" s="201"/>
      <c r="F55" s="201"/>
      <c r="G55" s="201"/>
      <c r="H55" s="201"/>
      <c r="J55" s="298" t="str">
        <f>IF(B55="","",VLOOKUP(VLOOKUP(C55,$AJ$6:$AK$13,2,FALSE),'Eclass OPE Rates'!$A$26:$F$33,2,FALSE))</f>
        <v/>
      </c>
      <c r="K55" s="212">
        <f>IF($C55="",0,ROUND(K15*VLOOKUP(VLOOKUP($C55,'R&amp;R Generic Detailed Budget'!$AJ$6:$AK$13,2,FALSE),'Eclass OPE Rates'!$A$26:$F$33,2,FALSE),0))</f>
        <v>0</v>
      </c>
      <c r="L55" s="212">
        <f>IF($C55="",0,ROUND(L15*VLOOKUP(VLOOKUP($C55,'R&amp;R Generic Detailed Budget'!$AJ$6:$AK$13,2,FALSE),'Eclass OPE Rates'!$A$26:$F$33,3,FALSE),0))</f>
        <v>0</v>
      </c>
      <c r="M55" s="212">
        <f>IF($C55="",0,ROUND(M15*VLOOKUP(VLOOKUP($C55,'R&amp;R Generic Detailed Budget'!$AJ$6:$AK$13,2,FALSE),'Eclass OPE Rates'!$A$26:$F$33,4,FALSE),0))</f>
        <v>0</v>
      </c>
      <c r="N55" s="212">
        <f>IF($C55="",0,ROUND(N15*VLOOKUP(VLOOKUP($C55,'R&amp;R Generic Detailed Budget'!$AJ$6:$AK$13,2,FALSE),'Eclass OPE Rates'!$A$26:$F$33,5,FALSE),0))</f>
        <v>0</v>
      </c>
      <c r="O55" s="212">
        <f>IF($C55="",0,ROUND(O15*VLOOKUP(VLOOKUP($C55,'R&amp;R Generic Detailed Budget'!$AJ$6:$AK$13,2,FALSE),'Eclass OPE Rates'!$A$26:$F$33,6,FALSE),0))</f>
        <v>0</v>
      </c>
      <c r="P55" s="188">
        <f t="shared" si="21"/>
        <v>0</v>
      </c>
      <c r="R55" s="333"/>
      <c r="S55" s="333"/>
      <c r="T55" s="333"/>
      <c r="U55" s="333"/>
      <c r="V55" s="333"/>
      <c r="W55" s="333"/>
      <c r="X55" s="333"/>
    </row>
    <row r="56" spans="1:24">
      <c r="A56" s="170"/>
      <c r="B56" s="210" t="str">
        <f t="shared" si="19"/>
        <v/>
      </c>
      <c r="C56" s="312" t="str">
        <f t="shared" si="20"/>
        <v/>
      </c>
      <c r="D56" s="201"/>
      <c r="E56" s="201"/>
      <c r="F56" s="201"/>
      <c r="G56" s="201"/>
      <c r="H56" s="201"/>
      <c r="J56" s="298" t="str">
        <f>IF(B56="","",VLOOKUP(VLOOKUP(C56,$AJ$6:$AK$13,2,FALSE),'Eclass OPE Rates'!$A$26:$F$33,2,FALSE))</f>
        <v/>
      </c>
      <c r="K56" s="212">
        <f>IF($C56="",0,ROUND(K16*VLOOKUP(VLOOKUP($C56,'R&amp;R Generic Detailed Budget'!$AJ$6:$AK$13,2,FALSE),'Eclass OPE Rates'!$A$26:$F$33,2,FALSE),0))</f>
        <v>0</v>
      </c>
      <c r="L56" s="212">
        <f>IF($C56="",0,ROUND(L16*VLOOKUP(VLOOKUP($C56,'R&amp;R Generic Detailed Budget'!$AJ$6:$AK$13,2,FALSE),'Eclass OPE Rates'!$A$26:$F$33,3,FALSE),0))</f>
        <v>0</v>
      </c>
      <c r="M56" s="212">
        <f>IF($C56="",0,ROUND(M16*VLOOKUP(VLOOKUP($C56,'R&amp;R Generic Detailed Budget'!$AJ$6:$AK$13,2,FALSE),'Eclass OPE Rates'!$A$26:$F$33,4,FALSE),0))</f>
        <v>0</v>
      </c>
      <c r="N56" s="212">
        <f>IF($C56="",0,ROUND(N16*VLOOKUP(VLOOKUP($C56,'R&amp;R Generic Detailed Budget'!$AJ$6:$AK$13,2,FALSE),'Eclass OPE Rates'!$A$26:$F$33,5,FALSE),0))</f>
        <v>0</v>
      </c>
      <c r="O56" s="212">
        <f>IF($C56="",0,ROUND(O16*VLOOKUP(VLOOKUP($C56,'R&amp;R Generic Detailed Budget'!$AJ$6:$AK$13,2,FALSE),'Eclass OPE Rates'!$A$26:$F$33,6,FALSE),0))</f>
        <v>0</v>
      </c>
      <c r="P56" s="188">
        <f t="shared" si="21"/>
        <v>0</v>
      </c>
      <c r="R56" s="333"/>
      <c r="S56" s="333" t="s">
        <v>27</v>
      </c>
      <c r="T56" s="333"/>
      <c r="U56" s="333"/>
      <c r="V56" s="333"/>
      <c r="W56" s="333"/>
      <c r="X56" s="333"/>
    </row>
    <row r="57" spans="1:24">
      <c r="A57" s="170"/>
      <c r="B57" s="210" t="str">
        <f t="shared" si="19"/>
        <v/>
      </c>
      <c r="C57" s="312" t="str">
        <f t="shared" si="20"/>
        <v/>
      </c>
      <c r="D57" s="201"/>
      <c r="E57" s="201"/>
      <c r="F57" s="201"/>
      <c r="G57" s="201"/>
      <c r="H57" s="201"/>
      <c r="J57" s="298" t="str">
        <f>IF(B57="","",VLOOKUP(VLOOKUP(C57,$AJ$6:$AK$13,2,FALSE),'Eclass OPE Rates'!$A$26:$F$33,2,FALSE))</f>
        <v/>
      </c>
      <c r="K57" s="212">
        <f>IF($C57="",0,ROUND(K17*VLOOKUP(VLOOKUP($C57,'R&amp;R Generic Detailed Budget'!$AJ$6:$AK$13,2,FALSE),'Eclass OPE Rates'!$A$26:$F$33,2,FALSE),0))</f>
        <v>0</v>
      </c>
      <c r="L57" s="212">
        <f>IF($C57="",0,ROUND(L17*VLOOKUP(VLOOKUP($C57,'R&amp;R Generic Detailed Budget'!$AJ$6:$AK$13,2,FALSE),'Eclass OPE Rates'!$A$26:$F$33,3,FALSE),0))</f>
        <v>0</v>
      </c>
      <c r="M57" s="212">
        <f>IF($C57="",0,ROUND(M17*VLOOKUP(VLOOKUP($C57,'R&amp;R Generic Detailed Budget'!$AJ$6:$AK$13,2,FALSE),'Eclass OPE Rates'!$A$26:$F$33,4,FALSE),0))</f>
        <v>0</v>
      </c>
      <c r="N57" s="212">
        <f>IF($C57="",0,ROUND(N17*VLOOKUP(VLOOKUP($C57,'R&amp;R Generic Detailed Budget'!$AJ$6:$AK$13,2,FALSE),'Eclass OPE Rates'!$A$26:$F$33,5,FALSE),0))</f>
        <v>0</v>
      </c>
      <c r="O57" s="212">
        <f>IF($C57="",0,ROUND(O17*VLOOKUP(VLOOKUP($C57,'R&amp;R Generic Detailed Budget'!$AJ$6:$AK$13,2,FALSE),'Eclass OPE Rates'!$A$26:$F$33,6,FALSE),0))</f>
        <v>0</v>
      </c>
      <c r="P57" s="188">
        <f t="shared" si="21"/>
        <v>0</v>
      </c>
      <c r="R57" s="333"/>
      <c r="S57" s="333"/>
      <c r="T57" s="333"/>
      <c r="U57" s="333"/>
      <c r="V57" s="333"/>
      <c r="W57" s="333"/>
      <c r="X57" s="333"/>
    </row>
    <row r="58" spans="1:24">
      <c r="A58" s="170"/>
      <c r="B58" s="210" t="str">
        <f t="shared" si="19"/>
        <v/>
      </c>
      <c r="C58" s="312" t="str">
        <f t="shared" si="20"/>
        <v/>
      </c>
      <c r="D58" s="201"/>
      <c r="E58" s="201"/>
      <c r="F58" s="201"/>
      <c r="G58" s="201"/>
      <c r="H58" s="201"/>
      <c r="J58" s="298" t="str">
        <f>IF(B58="","",VLOOKUP(VLOOKUP(C58,$AJ$6:$AK$13,2,FALSE),'Eclass OPE Rates'!$A$26:$F$33,2,FALSE))</f>
        <v/>
      </c>
      <c r="K58" s="212">
        <f>IF($C58="",0,ROUND(K18*VLOOKUP(VLOOKUP($C58,'R&amp;R Generic Detailed Budget'!$AJ$6:$AK$13,2,FALSE),'Eclass OPE Rates'!$A$26:$F$33,2,FALSE),0))</f>
        <v>0</v>
      </c>
      <c r="L58" s="212">
        <f>IF($C58="",0,ROUND(L18*VLOOKUP(VLOOKUP($C58,'R&amp;R Generic Detailed Budget'!$AJ$6:$AK$13,2,FALSE),'Eclass OPE Rates'!$A$26:$F$33,3,FALSE),0))</f>
        <v>0</v>
      </c>
      <c r="M58" s="212">
        <f>IF($C58="",0,ROUND(M18*VLOOKUP(VLOOKUP($C58,'R&amp;R Generic Detailed Budget'!$AJ$6:$AK$13,2,FALSE),'Eclass OPE Rates'!$A$26:$F$33,4,FALSE),0))</f>
        <v>0</v>
      </c>
      <c r="N58" s="212">
        <f>IF($C58="",0,ROUND(N18*VLOOKUP(VLOOKUP($C58,'R&amp;R Generic Detailed Budget'!$AJ$6:$AK$13,2,FALSE),'Eclass OPE Rates'!$A$26:$F$33,5,FALSE),0))</f>
        <v>0</v>
      </c>
      <c r="O58" s="212">
        <f>IF($C58="",0,ROUND(O18*VLOOKUP(VLOOKUP($C58,'R&amp;R Generic Detailed Budget'!$AJ$6:$AK$13,2,FALSE),'Eclass OPE Rates'!$A$26:$F$33,6,FALSE),0))</f>
        <v>0</v>
      </c>
      <c r="P58" s="188">
        <f t="shared" si="21"/>
        <v>0</v>
      </c>
      <c r="R58" s="333"/>
      <c r="S58" s="333" t="s">
        <v>27</v>
      </c>
      <c r="T58" s="333"/>
      <c r="U58" s="333"/>
      <c r="V58" s="333"/>
      <c r="W58" s="333"/>
      <c r="X58" s="333"/>
    </row>
    <row r="59" spans="1:24">
      <c r="A59" s="170"/>
      <c r="B59" s="210" t="str">
        <f t="shared" si="19"/>
        <v/>
      </c>
      <c r="C59" s="312" t="str">
        <f t="shared" si="20"/>
        <v/>
      </c>
      <c r="D59" s="201"/>
      <c r="E59" s="201"/>
      <c r="F59" s="201"/>
      <c r="G59" s="201"/>
      <c r="H59" s="201"/>
      <c r="J59" s="298" t="str">
        <f>IF(B59="","",VLOOKUP(VLOOKUP(C59,$AJ$6:$AK$13,2,FALSE),'Eclass OPE Rates'!$A$26:$F$33,2,FALSE))</f>
        <v/>
      </c>
      <c r="K59" s="212">
        <f>IF($C59="",0,ROUND(K19*VLOOKUP(VLOOKUP($C59,'R&amp;R Generic Detailed Budget'!$AJ$6:$AK$13,2,FALSE),'Eclass OPE Rates'!$A$26:$F$33,2,FALSE),0))</f>
        <v>0</v>
      </c>
      <c r="L59" s="212">
        <f>IF($C59="",0,ROUND(L19*VLOOKUP(VLOOKUP($C59,'R&amp;R Generic Detailed Budget'!$AJ$6:$AK$13,2,FALSE),'Eclass OPE Rates'!$A$26:$F$33,3,FALSE),0))</f>
        <v>0</v>
      </c>
      <c r="M59" s="212">
        <f>IF($C59="",0,ROUND(M19*VLOOKUP(VLOOKUP($C59,'R&amp;R Generic Detailed Budget'!$AJ$6:$AK$13,2,FALSE),'Eclass OPE Rates'!$A$26:$F$33,4,FALSE),0))</f>
        <v>0</v>
      </c>
      <c r="N59" s="212">
        <f>IF($C59="",0,ROUND(N19*VLOOKUP(VLOOKUP($C59,'R&amp;R Generic Detailed Budget'!$AJ$6:$AK$13,2,FALSE),'Eclass OPE Rates'!$A$26:$F$33,5,FALSE),0))</f>
        <v>0</v>
      </c>
      <c r="O59" s="212">
        <f>IF($C59="",0,ROUND(O19*VLOOKUP(VLOOKUP($C59,'R&amp;R Generic Detailed Budget'!$AJ$6:$AK$13,2,FALSE),'Eclass OPE Rates'!$A$26:$F$33,6,FALSE),0))</f>
        <v>0</v>
      </c>
      <c r="P59" s="188">
        <f t="shared" si="21"/>
        <v>0</v>
      </c>
      <c r="R59" s="333"/>
      <c r="S59" s="333"/>
      <c r="T59" s="333"/>
      <c r="U59" s="333"/>
      <c r="V59" s="333"/>
      <c r="W59" s="333"/>
      <c r="X59" s="333"/>
    </row>
    <row r="60" spans="1:24">
      <c r="A60" s="170"/>
      <c r="B60" s="210" t="str">
        <f t="shared" si="19"/>
        <v/>
      </c>
      <c r="C60" s="312" t="str">
        <f t="shared" si="20"/>
        <v/>
      </c>
      <c r="D60" s="201"/>
      <c r="E60" s="201"/>
      <c r="F60" s="201"/>
      <c r="G60" s="201"/>
      <c r="H60" s="201"/>
      <c r="J60" s="298" t="str">
        <f>IF(B60="","",VLOOKUP(VLOOKUP(C60,$AJ$6:$AK$13,2,FALSE),'Eclass OPE Rates'!$A$26:$F$33,2,FALSE))</f>
        <v/>
      </c>
      <c r="K60" s="212">
        <f>IF($C60="",0,ROUND(K20*VLOOKUP(VLOOKUP($C60,'R&amp;R Generic Detailed Budget'!$AJ$6:$AK$13,2,FALSE),'Eclass OPE Rates'!$A$26:$F$33,2,FALSE),0))</f>
        <v>0</v>
      </c>
      <c r="L60" s="212">
        <f>IF($C60="",0,ROUND(L20*VLOOKUP(VLOOKUP($C60,'R&amp;R Generic Detailed Budget'!$AJ$6:$AK$13,2,FALSE),'Eclass OPE Rates'!$A$26:$F$33,3,FALSE),0))</f>
        <v>0</v>
      </c>
      <c r="M60" s="212">
        <f>IF($C60="",0,ROUND(M20*VLOOKUP(VLOOKUP($C60,'R&amp;R Generic Detailed Budget'!$AJ$6:$AK$13,2,FALSE),'Eclass OPE Rates'!$A$26:$F$33,4,FALSE),0))</f>
        <v>0</v>
      </c>
      <c r="N60" s="212">
        <f>IF($C60="",0,ROUND(N20*VLOOKUP(VLOOKUP($C60,'R&amp;R Generic Detailed Budget'!$AJ$6:$AK$13,2,FALSE),'Eclass OPE Rates'!$A$26:$F$33,5,FALSE),0))</f>
        <v>0</v>
      </c>
      <c r="O60" s="212">
        <f>IF($C60="",0,ROUND(O20*VLOOKUP(VLOOKUP($C60,'R&amp;R Generic Detailed Budget'!$AJ$6:$AK$13,2,FALSE),'Eclass OPE Rates'!$A$26:$F$33,6,FALSE),0))</f>
        <v>0</v>
      </c>
      <c r="P60" s="188">
        <f t="shared" si="21"/>
        <v>0</v>
      </c>
      <c r="R60" s="333"/>
      <c r="S60" s="333"/>
      <c r="T60" s="333"/>
      <c r="U60" s="333"/>
      <c r="V60" s="333"/>
      <c r="W60" s="333"/>
      <c r="X60" s="333"/>
    </row>
    <row r="61" spans="1:24">
      <c r="A61" s="170"/>
      <c r="B61" s="210" t="str">
        <f t="shared" si="19"/>
        <v/>
      </c>
      <c r="C61" s="312" t="str">
        <f t="shared" si="20"/>
        <v/>
      </c>
      <c r="D61" s="201"/>
      <c r="E61" s="201"/>
      <c r="F61" s="201"/>
      <c r="G61" s="201"/>
      <c r="H61" s="201"/>
      <c r="J61" s="298" t="str">
        <f>IF(B61="","",VLOOKUP(VLOOKUP(C61,$AJ$6:$AK$13,2,FALSE),'Eclass OPE Rates'!$A$26:$F$33,2,FALSE))</f>
        <v/>
      </c>
      <c r="K61" s="212">
        <f>IF($C61="",0,ROUND(K21*VLOOKUP(VLOOKUP($C61,'R&amp;R Generic Detailed Budget'!$AJ$6:$AK$13,2,FALSE),'Eclass OPE Rates'!$A$26:$F$33,2,FALSE),0))</f>
        <v>0</v>
      </c>
      <c r="L61" s="212">
        <f>IF($C61="",0,ROUND(L21*VLOOKUP(VLOOKUP($C61,'R&amp;R Generic Detailed Budget'!$AJ$6:$AK$13,2,FALSE),'Eclass OPE Rates'!$A$26:$F$33,3,FALSE),0))</f>
        <v>0</v>
      </c>
      <c r="M61" s="212">
        <f>IF($C61="",0,ROUND(M21*VLOOKUP(VLOOKUP($C61,'R&amp;R Generic Detailed Budget'!$AJ$6:$AK$13,2,FALSE),'Eclass OPE Rates'!$A$26:$F$33,4,FALSE),0))</f>
        <v>0</v>
      </c>
      <c r="N61" s="212">
        <f>IF($C61="",0,ROUND(N21*VLOOKUP(VLOOKUP($C61,'R&amp;R Generic Detailed Budget'!$AJ$6:$AK$13,2,FALSE),'Eclass OPE Rates'!$A$26:$F$33,5,FALSE),0))</f>
        <v>0</v>
      </c>
      <c r="O61" s="212">
        <f>IF($C61="",0,ROUND(O21*VLOOKUP(VLOOKUP($C61,'R&amp;R Generic Detailed Budget'!$AJ$6:$AK$13,2,FALSE),'Eclass OPE Rates'!$A$26:$F$33,6,FALSE),0))</f>
        <v>0</v>
      </c>
      <c r="P61" s="188">
        <f t="shared" si="21"/>
        <v>0</v>
      </c>
      <c r="R61" s="333"/>
      <c r="S61" s="333"/>
      <c r="T61" s="333"/>
      <c r="U61" s="333"/>
      <c r="V61" s="333"/>
      <c r="W61" s="333"/>
      <c r="X61" s="333"/>
    </row>
    <row r="62" spans="1:24">
      <c r="A62" s="170"/>
      <c r="B62" s="210" t="str">
        <f t="shared" si="19"/>
        <v/>
      </c>
      <c r="C62" s="312" t="str">
        <f t="shared" si="20"/>
        <v/>
      </c>
      <c r="D62" s="201"/>
      <c r="E62" s="201"/>
      <c r="F62" s="201"/>
      <c r="G62" s="201"/>
      <c r="H62" s="201"/>
      <c r="J62" s="298" t="str">
        <f>IF(B62="","",VLOOKUP(VLOOKUP(C62,$AJ$6:$AK$13,2,FALSE),'Eclass OPE Rates'!$A$26:$F$33,2,FALSE))</f>
        <v/>
      </c>
      <c r="K62" s="212">
        <f>IF($C62="",0,ROUND(K22*VLOOKUP(VLOOKUP($C62,'R&amp;R Generic Detailed Budget'!$AJ$6:$AK$13,2,FALSE),'Eclass OPE Rates'!$A$26:$F$33,2,FALSE),0))</f>
        <v>0</v>
      </c>
      <c r="L62" s="212">
        <f>IF($C62="",0,ROUND(L22*VLOOKUP(VLOOKUP($C62,'R&amp;R Generic Detailed Budget'!$AJ$6:$AK$13,2,FALSE),'Eclass OPE Rates'!$A$26:$F$33,3,FALSE),0))</f>
        <v>0</v>
      </c>
      <c r="M62" s="212">
        <f>IF($C62="",0,ROUND(M22*VLOOKUP(VLOOKUP($C62,'R&amp;R Generic Detailed Budget'!$AJ$6:$AK$13,2,FALSE),'Eclass OPE Rates'!$A$26:$F$33,4,FALSE),0))</f>
        <v>0</v>
      </c>
      <c r="N62" s="212">
        <f>IF($C62="",0,ROUND(N22*VLOOKUP(VLOOKUP($C62,'R&amp;R Generic Detailed Budget'!$AJ$6:$AK$13,2,FALSE),'Eclass OPE Rates'!$A$26:$F$33,5,FALSE),0))</f>
        <v>0</v>
      </c>
      <c r="O62" s="212">
        <f>IF($C62="",0,ROUND(O22*VLOOKUP(VLOOKUP($C62,'R&amp;R Generic Detailed Budget'!$AJ$6:$AK$13,2,FALSE),'Eclass OPE Rates'!$A$26:$F$33,6,FALSE),0))</f>
        <v>0</v>
      </c>
      <c r="P62" s="188">
        <f t="shared" si="21"/>
        <v>0</v>
      </c>
      <c r="R62" s="333"/>
      <c r="S62" s="333"/>
      <c r="T62" s="333"/>
      <c r="U62" s="333"/>
      <c r="V62" s="333"/>
      <c r="W62" s="333"/>
      <c r="X62" s="333"/>
    </row>
    <row r="63" spans="1:24" ht="14.25">
      <c r="A63" s="170"/>
      <c r="B63" s="179" t="s">
        <v>33</v>
      </c>
      <c r="C63" s="209"/>
      <c r="D63" s="185"/>
      <c r="E63" s="185"/>
      <c r="F63" s="185"/>
      <c r="G63" s="185"/>
      <c r="H63" s="185"/>
      <c r="I63" s="209"/>
      <c r="J63" s="298"/>
      <c r="K63" s="212"/>
      <c r="L63" s="212"/>
      <c r="M63" s="212"/>
      <c r="N63" s="212"/>
      <c r="O63" s="212"/>
      <c r="P63" s="189"/>
      <c r="R63" s="333"/>
      <c r="S63" s="333"/>
      <c r="T63" s="333"/>
      <c r="U63" s="333"/>
      <c r="V63" s="333" t="s">
        <v>27</v>
      </c>
      <c r="W63" s="333"/>
      <c r="X63" s="333"/>
    </row>
    <row r="64" spans="1:24" ht="14.25">
      <c r="A64" s="170"/>
      <c r="B64" s="179" t="s">
        <v>25</v>
      </c>
      <c r="C64" s="209"/>
      <c r="D64" s="185"/>
      <c r="E64" s="185"/>
      <c r="F64" s="185"/>
      <c r="G64" s="185"/>
      <c r="H64" s="185"/>
      <c r="I64" s="209"/>
      <c r="J64" s="298"/>
      <c r="K64" s="212"/>
      <c r="L64" s="212"/>
      <c r="M64" s="212"/>
      <c r="N64" s="212"/>
      <c r="O64" s="212"/>
      <c r="P64" s="189"/>
    </row>
    <row r="65" spans="1:23">
      <c r="A65" s="170"/>
      <c r="B65" s="192" t="s">
        <v>30</v>
      </c>
      <c r="C65" s="288" t="s">
        <v>148</v>
      </c>
      <c r="D65" s="185"/>
      <c r="E65" s="185"/>
      <c r="F65" s="185"/>
      <c r="G65" s="185"/>
      <c r="H65" s="185"/>
      <c r="I65" s="209"/>
      <c r="J65" s="298"/>
      <c r="K65" s="212"/>
      <c r="L65" s="212"/>
      <c r="M65" s="212"/>
      <c r="N65" s="212"/>
      <c r="O65" s="212"/>
      <c r="P65" s="189"/>
    </row>
    <row r="66" spans="1:23">
      <c r="A66" s="170"/>
      <c r="B66" s="183" t="str">
        <f t="shared" ref="B66:B71" si="22">IF(B25="","",B25)</f>
        <v/>
      </c>
      <c r="C66" s="312" t="str">
        <f t="shared" ref="C66:C71" si="23">IF(C25="Select Employee Class","",C25)</f>
        <v/>
      </c>
      <c r="D66" s="185"/>
      <c r="E66" s="185"/>
      <c r="F66" s="185"/>
      <c r="G66" s="185"/>
      <c r="H66" s="185"/>
      <c r="J66" s="298" t="str">
        <f>IF(B66="","",VLOOKUP(VLOOKUP(C66,$AJ$6:$AK$14,2,FALSE),'Eclass OPE Rates'!$A$26:$F$33,2,FALSE))</f>
        <v/>
      </c>
      <c r="K66" s="212">
        <f>IF($C66="",0,ROUND(K25*VLOOKUP(VLOOKUP($C66,'R&amp;R Generic Detailed Budget'!$AJ$6:$AK$14,2,FALSE),'Eclass OPE Rates'!$A$26:$F$33,2,FALSE),0))</f>
        <v>0</v>
      </c>
      <c r="L66" s="212">
        <f>IF($C66="",0,ROUND(L25*VLOOKUP(VLOOKUP($C66,'R&amp;R Generic Detailed Budget'!$AJ$6:$AK$14,2,FALSE),'Eclass OPE Rates'!$A$26:$F$33,3,FALSE),0))</f>
        <v>0</v>
      </c>
      <c r="M66" s="212">
        <f>IF($C66="",0,ROUND(M25*VLOOKUP(VLOOKUP($C66,'R&amp;R Generic Detailed Budget'!$AJ$6:$AK$14,2,FALSE),'Eclass OPE Rates'!$A$26:$F$33,4,FALSE),0))</f>
        <v>0</v>
      </c>
      <c r="N66" s="212">
        <f>IF($C66="",0,ROUND(N25*VLOOKUP(VLOOKUP($C66,'R&amp;R Generic Detailed Budget'!$AJ$6:$AK$14,2,FALSE),'Eclass OPE Rates'!$A$26:$F$33,5,FALSE),0))</f>
        <v>0</v>
      </c>
      <c r="O66" s="212">
        <f>IF($C66="",0,ROUND(O25*VLOOKUP(VLOOKUP($C66,'R&amp;R Generic Detailed Budget'!$AJ$6:$AK$14,2,FALSE),'Eclass OPE Rates'!$A$26:$F$33,6,FALSE),0))</f>
        <v>0</v>
      </c>
      <c r="P66" s="189">
        <f t="shared" ref="P66:P71" si="24">SUM(K66:O66)</f>
        <v>0</v>
      </c>
    </row>
    <row r="67" spans="1:23">
      <c r="A67" s="170"/>
      <c r="B67" s="183" t="str">
        <f t="shared" si="22"/>
        <v/>
      </c>
      <c r="C67" s="312" t="str">
        <f t="shared" si="23"/>
        <v/>
      </c>
      <c r="D67" s="185"/>
      <c r="E67" s="185"/>
      <c r="F67" s="185"/>
      <c r="G67" s="185"/>
      <c r="H67" s="185"/>
      <c r="J67" s="298" t="str">
        <f>IF(B67="","",VLOOKUP(VLOOKUP(C67,$AJ$6:$AK$14,2,FALSE),'Eclass OPE Rates'!$A$26:$F$33,2,FALSE))</f>
        <v/>
      </c>
      <c r="K67" s="212">
        <f>IF($C67="",0,ROUND(K26*VLOOKUP(VLOOKUP($C67,'R&amp;R Generic Detailed Budget'!$AJ$6:$AK$14,2,FALSE),'Eclass OPE Rates'!$A$26:$F$33,2,FALSE),0))</f>
        <v>0</v>
      </c>
      <c r="L67" s="212">
        <f>IF($C67="",0,ROUND(L26*VLOOKUP(VLOOKUP($C67,'R&amp;R Generic Detailed Budget'!$AJ$6:$AK$14,2,FALSE),'Eclass OPE Rates'!$A$26:$F$33,3,FALSE),0))</f>
        <v>0</v>
      </c>
      <c r="M67" s="212">
        <f>IF($C67="",0,ROUND(M26*VLOOKUP(VLOOKUP($C67,'R&amp;R Generic Detailed Budget'!$AJ$6:$AK$14,2,FALSE),'Eclass OPE Rates'!$A$26:$F$33,4,FALSE),0))</f>
        <v>0</v>
      </c>
      <c r="N67" s="212">
        <f>IF($C67="",0,ROUND(N26*VLOOKUP(VLOOKUP($C67,'R&amp;R Generic Detailed Budget'!$AJ$6:$AK$14,2,FALSE),'Eclass OPE Rates'!$A$26:$F$33,5,FALSE),0))</f>
        <v>0</v>
      </c>
      <c r="O67" s="212">
        <f>IF($C67="",0,ROUND(O26*VLOOKUP(VLOOKUP($C67,'R&amp;R Generic Detailed Budget'!$AJ$6:$AK$14,2,FALSE),'Eclass OPE Rates'!$A$26:$F$33,6,FALSE),0))</f>
        <v>0</v>
      </c>
      <c r="P67" s="189">
        <f t="shared" si="24"/>
        <v>0</v>
      </c>
    </row>
    <row r="68" spans="1:23">
      <c r="A68" s="170"/>
      <c r="B68" s="183" t="str">
        <f t="shared" si="22"/>
        <v/>
      </c>
      <c r="C68" s="312" t="str">
        <f t="shared" si="23"/>
        <v/>
      </c>
      <c r="D68" s="185"/>
      <c r="E68" s="185"/>
      <c r="F68" s="185"/>
      <c r="G68" s="185"/>
      <c r="H68" s="185"/>
      <c r="J68" s="298" t="str">
        <f>IF(B68="","",VLOOKUP(VLOOKUP(C68,$AJ$6:$AK$14,2,FALSE),'Eclass OPE Rates'!$A$26:$F$33,2,FALSE))</f>
        <v/>
      </c>
      <c r="K68" s="212">
        <f>IF($C68="",0,ROUND(K27*VLOOKUP(VLOOKUP($C68,'R&amp;R Generic Detailed Budget'!$AJ$6:$AK$14,2,FALSE),'Eclass OPE Rates'!$A$26:$F$33,2,FALSE),0))</f>
        <v>0</v>
      </c>
      <c r="L68" s="212">
        <f>IF($C68="",0,ROUND(L27*VLOOKUP(VLOOKUP($C68,'R&amp;R Generic Detailed Budget'!$AJ$6:$AK$14,2,FALSE),'Eclass OPE Rates'!$A$26:$F$33,3,FALSE),0))</f>
        <v>0</v>
      </c>
      <c r="M68" s="212">
        <f>IF($C68="",0,ROUND(M27*VLOOKUP(VLOOKUP($C68,'R&amp;R Generic Detailed Budget'!$AJ$6:$AK$14,2,FALSE),'Eclass OPE Rates'!$A$26:$F$33,4,FALSE),0))</f>
        <v>0</v>
      </c>
      <c r="N68" s="212">
        <f>IF($C68="",0,ROUND(N27*VLOOKUP(VLOOKUP($C68,'R&amp;R Generic Detailed Budget'!$AJ$6:$AK$14,2,FALSE),'Eclass OPE Rates'!$A$26:$F$33,5,FALSE),0))</f>
        <v>0</v>
      </c>
      <c r="O68" s="212">
        <f>IF($C68="",0,ROUND(O27*VLOOKUP(VLOOKUP($C68,'R&amp;R Generic Detailed Budget'!$AJ$6:$AK$14,2,FALSE),'Eclass OPE Rates'!$A$26:$F$33,6,FALSE),0))</f>
        <v>0</v>
      </c>
      <c r="P68" s="189">
        <f t="shared" si="24"/>
        <v>0</v>
      </c>
      <c r="R68" s="300"/>
      <c r="S68" s="299"/>
      <c r="T68" s="299"/>
      <c r="U68" s="299"/>
      <c r="V68" s="299"/>
      <c r="W68" s="299"/>
    </row>
    <row r="69" spans="1:23">
      <c r="A69" s="170"/>
      <c r="B69" s="183" t="str">
        <f t="shared" si="22"/>
        <v/>
      </c>
      <c r="C69" s="312" t="str">
        <f t="shared" si="23"/>
        <v/>
      </c>
      <c r="D69" s="185"/>
      <c r="E69" s="185"/>
      <c r="F69" s="185"/>
      <c r="G69" s="185"/>
      <c r="H69" s="185"/>
      <c r="J69" s="298" t="str">
        <f>IF(B69="","",VLOOKUP(VLOOKUP(C69,$AJ$6:$AK$14,2,FALSE),'Eclass OPE Rates'!$A$26:$F$33,2,FALSE))</f>
        <v/>
      </c>
      <c r="K69" s="212">
        <f>IF($C69="",0,ROUND(K28*VLOOKUP(VLOOKUP($C69,'R&amp;R Generic Detailed Budget'!$AJ$6:$AK$14,2,FALSE),'Eclass OPE Rates'!$A$26:$F$33,2,FALSE),0))</f>
        <v>0</v>
      </c>
      <c r="L69" s="212">
        <f>IF($C69="",0,ROUND(L28*VLOOKUP(VLOOKUP($C69,'R&amp;R Generic Detailed Budget'!$AJ$6:$AK$14,2,FALSE),'Eclass OPE Rates'!$A$26:$F$33,3,FALSE),0))</f>
        <v>0</v>
      </c>
      <c r="M69" s="212">
        <f>IF($C69="",0,ROUND(M28*VLOOKUP(VLOOKUP($C69,'R&amp;R Generic Detailed Budget'!$AJ$6:$AK$14,2,FALSE),'Eclass OPE Rates'!$A$26:$F$33,4,FALSE),0))</f>
        <v>0</v>
      </c>
      <c r="N69" s="212">
        <f>IF($C69="",0,ROUND(N28*VLOOKUP(VLOOKUP($C69,'R&amp;R Generic Detailed Budget'!$AJ$6:$AK$14,2,FALSE),'Eclass OPE Rates'!$A$26:$F$33,5,FALSE),0))</f>
        <v>0</v>
      </c>
      <c r="O69" s="212">
        <f>IF($C69="",0,ROUND(O28*VLOOKUP(VLOOKUP($C69,'R&amp;R Generic Detailed Budget'!$AJ$6:$AK$14,2,FALSE),'Eclass OPE Rates'!$A$26:$F$33,6,FALSE),0))</f>
        <v>0</v>
      </c>
      <c r="P69" s="189">
        <f t="shared" si="24"/>
        <v>0</v>
      </c>
      <c r="R69" s="300"/>
      <c r="S69" s="15"/>
      <c r="T69" s="15"/>
      <c r="U69" s="15"/>
      <c r="V69" s="15"/>
      <c r="W69" s="15"/>
    </row>
    <row r="70" spans="1:23">
      <c r="A70" s="170"/>
      <c r="B70" s="183" t="str">
        <f t="shared" si="22"/>
        <v/>
      </c>
      <c r="C70" s="312" t="str">
        <f t="shared" si="23"/>
        <v/>
      </c>
      <c r="D70" s="185"/>
      <c r="E70" s="185"/>
      <c r="F70" s="185"/>
      <c r="G70" s="185"/>
      <c r="H70" s="185"/>
      <c r="J70" s="298" t="str">
        <f>IF(B70="","",VLOOKUP(VLOOKUP(C70,$AJ$6:$AK$14,2,FALSE),'Eclass OPE Rates'!$A$26:$F$33,2,FALSE))</f>
        <v/>
      </c>
      <c r="K70" s="212">
        <f>IF($C70="",0,ROUND(K29*VLOOKUP(VLOOKUP($C70,'R&amp;R Generic Detailed Budget'!$AJ$6:$AK$14,2,FALSE),'Eclass OPE Rates'!$A$26:$F$33,2,FALSE),0))</f>
        <v>0</v>
      </c>
      <c r="L70" s="212">
        <f>IF($C70="",0,ROUND(L29*VLOOKUP(VLOOKUP($C70,'R&amp;R Generic Detailed Budget'!$AJ$6:$AK$14,2,FALSE),'Eclass OPE Rates'!$A$26:$F$33,3,FALSE),0))</f>
        <v>0</v>
      </c>
      <c r="M70" s="212">
        <f>IF($C70="",0,ROUND(M29*VLOOKUP(VLOOKUP($C70,'R&amp;R Generic Detailed Budget'!$AJ$6:$AK$14,2,FALSE),'Eclass OPE Rates'!$A$26:$F$33,4,FALSE),0))</f>
        <v>0</v>
      </c>
      <c r="N70" s="212">
        <f>IF($C70="",0,ROUND(N29*VLOOKUP(VLOOKUP($C70,'R&amp;R Generic Detailed Budget'!$AJ$6:$AK$14,2,FALSE),'Eclass OPE Rates'!$A$26:$F$33,5,FALSE),0))</f>
        <v>0</v>
      </c>
      <c r="O70" s="212">
        <f>IF($C70="",0,ROUND(O29*VLOOKUP(VLOOKUP($C70,'R&amp;R Generic Detailed Budget'!$AJ$6:$AK$14,2,FALSE),'Eclass OPE Rates'!$A$26:$F$33,6,FALSE),0))</f>
        <v>0</v>
      </c>
      <c r="P70" s="189">
        <f t="shared" si="24"/>
        <v>0</v>
      </c>
      <c r="R70" s="301"/>
      <c r="S70" s="22"/>
      <c r="T70" s="22"/>
      <c r="U70" s="22"/>
      <c r="V70" s="22"/>
      <c r="W70" s="22"/>
    </row>
    <row r="71" spans="1:23">
      <c r="A71" s="170"/>
      <c r="B71" s="183" t="str">
        <f t="shared" si="22"/>
        <v/>
      </c>
      <c r="C71" s="312" t="str">
        <f t="shared" si="23"/>
        <v/>
      </c>
      <c r="D71" s="185"/>
      <c r="E71" s="185"/>
      <c r="F71" s="185"/>
      <c r="G71" s="185"/>
      <c r="H71" s="185"/>
      <c r="J71" s="298" t="str">
        <f>IF(B71="","",VLOOKUP(VLOOKUP(C71,$AJ$6:$AK$14,2,FALSE),'Eclass OPE Rates'!$A$26:$F$33,2,FALSE))</f>
        <v/>
      </c>
      <c r="K71" s="212">
        <f>IF($C71="",0,ROUND(K30*VLOOKUP(VLOOKUP($C71,'R&amp;R Generic Detailed Budget'!$AJ$6:$AK$14,2,FALSE),'Eclass OPE Rates'!$A$26:$F$33,2,FALSE),0))</f>
        <v>0</v>
      </c>
      <c r="L71" s="212">
        <f>IF($C71="",0,ROUND(L30*VLOOKUP(VLOOKUP($C71,'R&amp;R Generic Detailed Budget'!$AJ$6:$AK$14,2,FALSE),'Eclass OPE Rates'!$A$26:$F$33,3,FALSE),0))</f>
        <v>0</v>
      </c>
      <c r="M71" s="212">
        <f>IF($C71="",0,ROUND(M30*VLOOKUP(VLOOKUP($C71,'R&amp;R Generic Detailed Budget'!$AJ$6:$AK$14,2,FALSE),'Eclass OPE Rates'!$A$26:$F$33,4,FALSE),0))</f>
        <v>0</v>
      </c>
      <c r="N71" s="212">
        <f>IF($C71="",0,ROUND(N30*VLOOKUP(VLOOKUP($C71,'R&amp;R Generic Detailed Budget'!$AJ$6:$AK$14,2,FALSE),'Eclass OPE Rates'!$A$26:$F$33,5,FALSE),0))</f>
        <v>0</v>
      </c>
      <c r="O71" s="212">
        <f>IF($C71="",0,ROUND(O30*VLOOKUP(VLOOKUP($C71,'R&amp;R Generic Detailed Budget'!$AJ$6:$AK$14,2,FALSE),'Eclass OPE Rates'!$A$26:$F$33,6,FALSE),0))</f>
        <v>0</v>
      </c>
      <c r="P71" s="189">
        <f t="shared" si="24"/>
        <v>0</v>
      </c>
      <c r="R71" s="301"/>
      <c r="S71" s="22"/>
      <c r="T71" s="22"/>
      <c r="U71" s="22"/>
      <c r="V71" s="22"/>
      <c r="W71" s="22"/>
    </row>
    <row r="72" spans="1:23">
      <c r="A72" s="170"/>
      <c r="B72" s="169"/>
      <c r="C72" s="289"/>
      <c r="D72" s="213"/>
      <c r="E72" s="213"/>
      <c r="F72" s="213"/>
      <c r="G72" s="213"/>
      <c r="H72" s="213"/>
      <c r="I72" s="213"/>
      <c r="J72" s="213"/>
      <c r="K72" s="213"/>
      <c r="L72" s="213"/>
      <c r="M72" s="213"/>
      <c r="N72" s="213"/>
      <c r="O72" s="213"/>
      <c r="P72" s="196"/>
      <c r="R72" s="22"/>
      <c r="S72" s="22"/>
      <c r="T72" s="22"/>
      <c r="U72" s="22"/>
      <c r="V72" s="22"/>
      <c r="W72" s="22"/>
    </row>
    <row r="73" spans="1:23">
      <c r="A73" s="170"/>
      <c r="B73" s="183" t="s">
        <v>44</v>
      </c>
      <c r="C73" s="312" t="s">
        <v>192</v>
      </c>
      <c r="D73" s="215"/>
      <c r="E73" s="215"/>
      <c r="F73" s="215"/>
      <c r="G73" s="215"/>
      <c r="H73" s="215"/>
      <c r="J73" s="298">
        <f>IF(B73="","",VLOOKUP(VLOOKUP(C73,$AJ$6:$AK$13,2,FALSE),'Eclass OPE Rates'!$A$26:$F$33,2,FALSE))</f>
        <v>3.3000000000000002E-2</v>
      </c>
      <c r="K73" s="212">
        <f>IF($C73="",0,ROUND(K32*VLOOKUP(VLOOKUP($C73,'R&amp;R Generic Detailed Budget'!$AJ$6:$AK$13,2,FALSE),'Eclass OPE Rates'!$A$26:$F$33,2,FALSE),0))</f>
        <v>0</v>
      </c>
      <c r="L73" s="212">
        <f>IF($C73="",0,ROUND(L32*VLOOKUP(VLOOKUP($C73,'R&amp;R Generic Detailed Budget'!$AJ$6:$AK$13,2,FALSE),'Eclass OPE Rates'!$A$26:$F$33,3,FALSE),0))</f>
        <v>0</v>
      </c>
      <c r="M73" s="212">
        <f>IF($C73="",0,ROUND(M32*VLOOKUP(VLOOKUP($C73,'R&amp;R Generic Detailed Budget'!$AJ$6:$AK$13,2,FALSE),'Eclass OPE Rates'!$A$26:$F$33,4,FALSE),0))</f>
        <v>0</v>
      </c>
      <c r="N73" s="212">
        <f>IF($C73="",0,ROUND(N32*VLOOKUP(VLOOKUP($C73,'R&amp;R Generic Detailed Budget'!$AJ$6:$AK$13,2,FALSE),'Eclass OPE Rates'!$A$26:$F$33,5,FALSE),0))</f>
        <v>0</v>
      </c>
      <c r="O73" s="212">
        <f>IF($C73="",0,ROUND(O32*VLOOKUP(VLOOKUP($C73,'R&amp;R Generic Detailed Budget'!$AJ$6:$AK$13,2,FALSE),'Eclass OPE Rates'!$A$26:$F$33,6,FALSE),0))</f>
        <v>0</v>
      </c>
      <c r="P73" s="189">
        <f>SUM(K73:O73)</f>
        <v>0</v>
      </c>
      <c r="R73" s="22"/>
      <c r="S73" s="22"/>
      <c r="T73" s="22"/>
      <c r="U73" s="22"/>
      <c r="V73" s="22"/>
      <c r="W73" s="22"/>
    </row>
    <row r="74" spans="1:23">
      <c r="A74" s="170"/>
      <c r="B74" s="183" t="s">
        <v>125</v>
      </c>
      <c r="C74" s="312" t="s">
        <v>192</v>
      </c>
      <c r="D74" s="215"/>
      <c r="E74" s="215"/>
      <c r="F74" s="215"/>
      <c r="G74" s="215"/>
      <c r="H74" s="215"/>
      <c r="J74" s="298">
        <f>IF(B74="","",VLOOKUP(VLOOKUP(C74,$AJ$6:$AK$13,2,FALSE),'Eclass OPE Rates'!$A$26:$F$33,2,FALSE))</f>
        <v>3.3000000000000002E-2</v>
      </c>
      <c r="K74" s="212">
        <f>IF($C74="",0,ROUND(K33*VLOOKUP(VLOOKUP($C74,'R&amp;R Generic Detailed Budget'!$AJ$6:$AK$13,2,FALSE),'Eclass OPE Rates'!$A$26:$F$33,2,FALSE),0))</f>
        <v>0</v>
      </c>
      <c r="L74" s="212">
        <f>IF($C74="",0,ROUND(L33*VLOOKUP(VLOOKUP($C74,'R&amp;R Generic Detailed Budget'!$AJ$6:$AK$13,2,FALSE),'Eclass OPE Rates'!$A$26:$F$33,3,FALSE),0))</f>
        <v>0</v>
      </c>
      <c r="M74" s="212">
        <f>IF($C74="",0,ROUND(M33*VLOOKUP(VLOOKUP($C74,'R&amp;R Generic Detailed Budget'!$AJ$6:$AK$13,2,FALSE),'Eclass OPE Rates'!$A$26:$F$33,4,FALSE),0))</f>
        <v>0</v>
      </c>
      <c r="N74" s="212">
        <f>IF($C74="",0,ROUND(N33*VLOOKUP(VLOOKUP($C74,'R&amp;R Generic Detailed Budget'!$AJ$6:$AK$13,2,FALSE),'Eclass OPE Rates'!$A$26:$F$33,5,FALSE),0))</f>
        <v>0</v>
      </c>
      <c r="O74" s="212">
        <f>IF($C74="",0,ROUND(O33*VLOOKUP(VLOOKUP($C74,'R&amp;R Generic Detailed Budget'!$AJ$6:$AK$13,2,FALSE),'Eclass OPE Rates'!$A$26:$F$33,6,FALSE),0))</f>
        <v>0</v>
      </c>
      <c r="P74" s="189">
        <f>SUM(K74:O74)</f>
        <v>0</v>
      </c>
    </row>
    <row r="75" spans="1:23">
      <c r="A75" s="170"/>
      <c r="B75" s="169"/>
      <c r="C75" s="289"/>
      <c r="D75" s="213"/>
      <c r="E75" s="213"/>
      <c r="F75" s="213"/>
      <c r="G75" s="213"/>
      <c r="H75" s="213"/>
      <c r="I75" s="213"/>
      <c r="J75" s="213"/>
      <c r="K75" s="213"/>
      <c r="L75" s="213"/>
      <c r="M75" s="213"/>
      <c r="N75" s="213"/>
      <c r="O75" s="213"/>
      <c r="P75" s="196"/>
    </row>
    <row r="76" spans="1:23">
      <c r="A76" s="170"/>
      <c r="B76" s="308" t="s">
        <v>180</v>
      </c>
      <c r="C76" s="312" t="s">
        <v>192</v>
      </c>
      <c r="D76" s="309"/>
      <c r="E76" s="309"/>
      <c r="F76" s="309"/>
      <c r="G76" s="309"/>
      <c r="H76" s="309"/>
      <c r="J76" s="310">
        <f>IF(B76="","",VLOOKUP(VLOOKUP(C76,$AJ$6:$AK$13,2,FALSE),'Eclass OPE Rates'!$A$26:$F$33,2,FALSE))</f>
        <v>3.3000000000000002E-2</v>
      </c>
      <c r="K76" s="212">
        <f>ROUND(VLOOKUP(VLOOKUP($C76,$AJ$6:$AK$13,2,FALSE),'Eclass OPE Rates'!$A$26:$F$33,2,FALSE)*SUM(K37:K45),0)+SUMIF($D$39:$D$47,"Total Academic Terms",E39:E47)*(U6+U8)+SUMIF($D$39:$D$47,"Total Summer Terms",E39:E47)*(U7+U9)</f>
        <v>0</v>
      </c>
      <c r="L76" s="212">
        <f>IF($A$1&gt;1,ROUND(VLOOKUP(VLOOKUP($C76,$AJ$6:$AK$13,2,FALSE),'Eclass OPE Rates'!$A$26:$F$33,3,FALSE)*SUM(L37:L45),0)+SUMIF($D$39:$D$47,"Total Academic Terms",F39:F47)*(V6+V8)+SUMIF($D$39:$D$47,"Total Summer Terms",F39:F47)*(V7+V9),0)</f>
        <v>0</v>
      </c>
      <c r="M76" s="212">
        <f>IF($A$1&gt;2,ROUND(VLOOKUP(VLOOKUP($C76,$AJ$6:$AK$13,2,FALSE),'Eclass OPE Rates'!$A$26:$F$33,4,FALSE)*SUM(M37:M45),0)+SUMIF($D$39:$D$47,"Total Academic Terms",G39:G47)*(W6+W8)+SUMIF($D$39:$D$47,"Total Summer Terms",G39:G47)*(W7+W9),0)</f>
        <v>0</v>
      </c>
      <c r="N76" s="212">
        <f>IF($A$1&gt;3,ROUND(VLOOKUP(VLOOKUP($C76,$AJ$6:$AK$13,2,FALSE),'Eclass OPE Rates'!$A$26:$F$33,5,FALSE)*SUM(N37:N45),0)+SUMIF($D$39:$D$47,"Total Academic Terms",H39:H47)*(X6+X8)+SUMIF($D$39:$D$47,"Total Summer Terms",H39:H47)*(X7+X9),0)</f>
        <v>0</v>
      </c>
      <c r="O76" s="212">
        <f>IF($A$1&gt;4,ROUND(VLOOKUP(VLOOKUP($C76,$AJ$6:$AK$13,2,FALSE),'Eclass OPE Rates'!$A$26:$F$33,6,FALSE)*SUM(O37:O45),0)+SUMIF($D$39:$D$47,"Total Academic Terms",I39:I47)*(Y6+Y8)+SUMIF($D$39:$D$47,"Total Summer Terms",I39:I47)*(Y7+Y9),0)</f>
        <v>0</v>
      </c>
      <c r="P76" s="311">
        <f>SUM(K76:O76)</f>
        <v>0</v>
      </c>
    </row>
    <row r="77" spans="1:23" ht="13.5">
      <c r="A77" s="218"/>
      <c r="B77" s="206"/>
      <c r="C77" s="206"/>
      <c r="D77" s="219"/>
      <c r="E77" s="219"/>
      <c r="F77" s="219"/>
      <c r="G77" s="219"/>
      <c r="H77" s="219"/>
      <c r="I77" s="206"/>
      <c r="J77" s="206" t="s">
        <v>5</v>
      </c>
      <c r="K77" s="207">
        <f>SUM(K52:K76)</f>
        <v>0</v>
      </c>
      <c r="L77" s="207">
        <f>IF($A$1&gt;1,SUM(L52:L76),0)</f>
        <v>0</v>
      </c>
      <c r="M77" s="207">
        <f>IF($A$1&gt;2,SUM(M52:M76),0)</f>
        <v>0</v>
      </c>
      <c r="N77" s="207">
        <f>IF($A$1&gt;3,SUM(N52:N76),0)</f>
        <v>0</v>
      </c>
      <c r="O77" s="207">
        <f>IF($A$1&gt;4,SUM(O52:O76),0)</f>
        <v>0</v>
      </c>
      <c r="P77" s="208">
        <f>SUM(K77:O77)</f>
        <v>0</v>
      </c>
    </row>
    <row r="78" spans="1:23">
      <c r="A78" s="170"/>
      <c r="B78" s="220"/>
      <c r="C78" s="220"/>
      <c r="D78" s="220"/>
      <c r="E78" s="220"/>
      <c r="F78" s="220"/>
      <c r="G78" s="220"/>
      <c r="H78" s="220"/>
      <c r="I78" s="221"/>
      <c r="J78" s="221"/>
      <c r="K78" s="222"/>
      <c r="L78" s="222"/>
      <c r="M78" s="222"/>
      <c r="N78" s="222"/>
      <c r="O78" s="222"/>
      <c r="P78" s="189"/>
    </row>
    <row r="79" spans="1:23">
      <c r="A79" s="170"/>
      <c r="B79" s="223" t="s">
        <v>14</v>
      </c>
      <c r="C79" s="223"/>
      <c r="D79" s="223"/>
      <c r="E79" s="223"/>
      <c r="F79" s="223"/>
      <c r="G79" s="223"/>
      <c r="H79" s="223"/>
      <c r="I79" s="224"/>
      <c r="J79" s="224"/>
      <c r="K79" s="225">
        <f>SUM(K48,K77)</f>
        <v>0</v>
      </c>
      <c r="L79" s="225">
        <f>IF($A$1&gt;1,SUM(L48,L77),0)</f>
        <v>0</v>
      </c>
      <c r="M79" s="225">
        <f>IF($A$1&gt;2,SUM(M48,M77),0)</f>
        <v>0</v>
      </c>
      <c r="N79" s="225">
        <f>IF($A$1&gt;3,SUM(N48,N77),0)</f>
        <v>0</v>
      </c>
      <c r="O79" s="225">
        <f>IF($A$1&gt;4,SUM(O48,O77),0)</f>
        <v>0</v>
      </c>
      <c r="P79" s="226">
        <f>SUM(K79:O79)</f>
        <v>0</v>
      </c>
    </row>
    <row r="80" spans="1:23">
      <c r="A80" s="170"/>
      <c r="B80" s="220"/>
      <c r="C80" s="220"/>
      <c r="D80" s="220"/>
      <c r="E80" s="220"/>
      <c r="F80" s="220"/>
      <c r="G80" s="220"/>
      <c r="H80" s="220"/>
      <c r="I80" s="192"/>
      <c r="J80" s="192"/>
      <c r="K80" s="227"/>
      <c r="L80" s="227"/>
      <c r="M80" s="227"/>
      <c r="N80" s="227"/>
      <c r="O80" s="227"/>
      <c r="P80" s="228"/>
    </row>
    <row r="81" spans="1:18">
      <c r="A81" s="170"/>
      <c r="B81" s="170"/>
      <c r="C81" s="170"/>
      <c r="D81" s="170"/>
      <c r="E81" s="170"/>
      <c r="F81" s="170"/>
      <c r="G81" s="170"/>
      <c r="H81" s="170"/>
      <c r="I81" s="183"/>
      <c r="J81" s="183"/>
      <c r="K81" s="191"/>
      <c r="L81" s="191"/>
      <c r="M81" s="191"/>
      <c r="N81" s="191"/>
      <c r="O81" s="191"/>
      <c r="P81" s="189"/>
    </row>
    <row r="82" spans="1:18">
      <c r="A82" s="170"/>
      <c r="B82" s="229" t="s">
        <v>266</v>
      </c>
      <c r="C82" s="229"/>
      <c r="D82" s="210"/>
      <c r="E82" s="210"/>
      <c r="F82" s="210"/>
      <c r="G82" s="210"/>
      <c r="H82" s="210"/>
      <c r="I82" s="192"/>
      <c r="J82" s="192"/>
      <c r="K82" s="191"/>
      <c r="L82" s="191"/>
      <c r="M82" s="191"/>
      <c r="N82" s="191"/>
      <c r="O82" s="191"/>
      <c r="P82" s="234"/>
      <c r="Q82" s="87"/>
    </row>
    <row r="83" spans="1:18">
      <c r="A83" s="170"/>
      <c r="B83" s="210"/>
      <c r="C83" s="210"/>
      <c r="D83" s="220"/>
      <c r="E83" s="220"/>
      <c r="F83" s="220"/>
      <c r="G83" s="220"/>
      <c r="H83" s="220"/>
      <c r="I83" s="192"/>
      <c r="J83" s="192"/>
      <c r="K83" s="191">
        <v>0</v>
      </c>
      <c r="L83" s="191">
        <f>IF($A$1&gt;1,ROUND($K83*$U$15,0),0)</f>
        <v>0</v>
      </c>
      <c r="M83" s="191">
        <f>IF($A$1&gt;2,ROUND($K83*$U$15^2,0),0)</f>
        <v>0</v>
      </c>
      <c r="N83" s="191">
        <f>IF($A$1&gt;3,ROUND($K83*$U$15^3,0),0)</f>
        <v>0</v>
      </c>
      <c r="O83" s="191">
        <f>IF($A$1&gt;4,ROUND($K83*$U$15^4,0),0)</f>
        <v>0</v>
      </c>
      <c r="P83" s="189">
        <f>SUM(K83:O83)</f>
        <v>0</v>
      </c>
      <c r="Q83" s="87"/>
    </row>
    <row r="84" spans="1:18">
      <c r="A84" s="170"/>
      <c r="B84" s="210"/>
      <c r="C84" s="210"/>
      <c r="D84" s="220"/>
      <c r="E84" s="220"/>
      <c r="F84" s="220"/>
      <c r="G84" s="220"/>
      <c r="H84" s="220"/>
      <c r="I84" s="192"/>
      <c r="J84" s="192"/>
      <c r="K84" s="216">
        <v>0</v>
      </c>
      <c r="L84" s="191">
        <f>IF($A$1&gt;1,ROUND($K84*$U$15,0),0)</f>
        <v>0</v>
      </c>
      <c r="M84" s="191">
        <f>IF($A$1&gt;2,ROUND($K84*$U$15^2,0),0)</f>
        <v>0</v>
      </c>
      <c r="N84" s="191">
        <f>IF($A$1&gt;3,ROUND($K84*$U$15^3,0),0)</f>
        <v>0</v>
      </c>
      <c r="O84" s="191">
        <f>IF($A$1&gt;4,ROUND($K84*$U$15^4,0),0)</f>
        <v>0</v>
      </c>
      <c r="P84" s="217">
        <f>SUM(K84:O84)</f>
        <v>0</v>
      </c>
    </row>
    <row r="85" spans="1:18" ht="13.5">
      <c r="A85" s="170"/>
      <c r="B85" s="220"/>
      <c r="C85" s="220"/>
      <c r="D85" s="220"/>
      <c r="E85" s="220"/>
      <c r="F85" s="220"/>
      <c r="G85" s="220"/>
      <c r="H85" s="220"/>
      <c r="I85" s="230"/>
      <c r="J85" s="230" t="s">
        <v>18</v>
      </c>
      <c r="K85" s="231">
        <f>SUM(K83:K84)</f>
        <v>0</v>
      </c>
      <c r="L85" s="231">
        <f>IF($A$1&gt;1,SUM(L83:L84),0)</f>
        <v>0</v>
      </c>
      <c r="M85" s="231">
        <f>IF($A$1&gt;2,SUM(M83:M84),0)</f>
        <v>0</v>
      </c>
      <c r="N85" s="231">
        <f>IF($A$1&gt;3,SUM(N83:N84),0)</f>
        <v>0</v>
      </c>
      <c r="O85" s="231">
        <f>IF($A$1&gt;4,SUM(O83:O84),0)</f>
        <v>0</v>
      </c>
      <c r="P85" s="233">
        <f>SUM(K85:O85)</f>
        <v>0</v>
      </c>
    </row>
    <row r="86" spans="1:18">
      <c r="A86" s="170"/>
      <c r="B86" s="183"/>
      <c r="C86" s="183"/>
      <c r="D86" s="183"/>
      <c r="E86" s="183"/>
      <c r="F86" s="183"/>
      <c r="G86" s="183"/>
      <c r="H86" s="183"/>
      <c r="I86" s="183"/>
      <c r="J86" s="183"/>
      <c r="K86" s="191"/>
      <c r="L86" s="191"/>
      <c r="M86" s="191"/>
      <c r="N86" s="191"/>
      <c r="O86" s="191"/>
      <c r="P86" s="189"/>
    </row>
    <row r="87" spans="1:18">
      <c r="A87" s="170"/>
      <c r="B87" s="192" t="s">
        <v>6</v>
      </c>
      <c r="C87" s="192"/>
      <c r="D87" s="183"/>
      <c r="E87" s="183"/>
      <c r="F87" s="183"/>
      <c r="G87" s="183"/>
      <c r="H87" s="183"/>
      <c r="I87" s="183"/>
      <c r="J87" s="183"/>
      <c r="K87" s="191"/>
      <c r="L87" s="191"/>
      <c r="M87" s="191"/>
      <c r="N87" s="191"/>
      <c r="O87" s="191"/>
      <c r="P87" s="234"/>
    </row>
    <row r="88" spans="1:18">
      <c r="A88" s="170"/>
      <c r="B88" s="348" t="s">
        <v>16</v>
      </c>
      <c r="C88" s="235"/>
      <c r="D88" s="183"/>
      <c r="E88" s="183"/>
      <c r="F88" s="183"/>
      <c r="G88" s="183"/>
      <c r="H88" s="183"/>
      <c r="I88" s="183"/>
      <c r="J88" s="183"/>
      <c r="K88" s="191">
        <v>0</v>
      </c>
      <c r="L88" s="191">
        <f>IF($A$1&gt;1,ROUND($K88*$U$15,0),0)</f>
        <v>0</v>
      </c>
      <c r="M88" s="191">
        <f>IF($A$1&gt;2,ROUND($K88*$U$15^2,0),0)</f>
        <v>0</v>
      </c>
      <c r="N88" s="191">
        <f>IF($A$1&gt;3,ROUND($K88*$U$15^3,0),0)</f>
        <v>0</v>
      </c>
      <c r="O88" s="191">
        <f>IF($A$1&gt;4,ROUND($K88*$U$15^4,0),0)</f>
        <v>0</v>
      </c>
      <c r="P88" s="189">
        <f>SUM(K88:O88)</f>
        <v>0</v>
      </c>
    </row>
    <row r="89" spans="1:18">
      <c r="A89" s="170"/>
      <c r="B89" s="345"/>
      <c r="C89" s="210"/>
      <c r="D89" s="183"/>
      <c r="E89" s="183"/>
      <c r="F89" s="183"/>
      <c r="G89" s="183"/>
      <c r="H89" s="183"/>
      <c r="I89" s="183"/>
      <c r="J89" s="183"/>
      <c r="K89" s="191"/>
      <c r="L89" s="191">
        <f>IF($A$1&gt;1,ROUND($K89*$U$15,0),0)</f>
        <v>0</v>
      </c>
      <c r="M89" s="191">
        <f>IF($A$1&gt;2,ROUND($K89*$U$15^2,0),0)</f>
        <v>0</v>
      </c>
      <c r="N89" s="191">
        <f>IF($A$1&gt;3,ROUND($K89*$U$15^3,0),0)</f>
        <v>0</v>
      </c>
      <c r="O89" s="191">
        <f>IF($A$1&gt;4,ROUND($K89*$U$15^4,0),0)</f>
        <v>0</v>
      </c>
      <c r="P89" s="189">
        <f>SUM(K89:O89)</f>
        <v>0</v>
      </c>
    </row>
    <row r="90" spans="1:18">
      <c r="A90" s="170"/>
      <c r="B90" s="348" t="s">
        <v>17</v>
      </c>
      <c r="C90" s="235"/>
      <c r="D90" s="220"/>
      <c r="E90" s="220"/>
      <c r="F90" s="220"/>
      <c r="G90" s="220"/>
      <c r="H90" s="220"/>
      <c r="I90" s="183"/>
      <c r="J90" s="183"/>
      <c r="K90" s="191">
        <v>0</v>
      </c>
      <c r="L90" s="191">
        <f>IF($A$1&gt;1,ROUND($K90*$U$15,0),0)</f>
        <v>0</v>
      </c>
      <c r="M90" s="191">
        <f>IF($A$1&gt;2,ROUND($K90*$U$15^2,0),0)</f>
        <v>0</v>
      </c>
      <c r="N90" s="191">
        <f>IF($A$1&gt;3,ROUND($K90*$U$15^3,0),0)</f>
        <v>0</v>
      </c>
      <c r="O90" s="191">
        <f>IF($A$1&gt;4,ROUND($K90*$U$15^4,0),0)</f>
        <v>0</v>
      </c>
      <c r="P90" s="189">
        <f>SUM(K90:O90)</f>
        <v>0</v>
      </c>
    </row>
    <row r="91" spans="1:18">
      <c r="A91" s="170"/>
      <c r="B91" s="210"/>
      <c r="C91" s="210"/>
      <c r="D91" s="220"/>
      <c r="E91" s="220"/>
      <c r="F91" s="220"/>
      <c r="G91" s="220"/>
      <c r="H91" s="220"/>
      <c r="I91" s="183"/>
      <c r="J91" s="183"/>
      <c r="K91" s="216"/>
      <c r="L91" s="216">
        <f>IF($A$1&gt;1,ROUND($K91*$U$15,0),0)</f>
        <v>0</v>
      </c>
      <c r="M91" s="216">
        <f>IF($A$1&gt;2,ROUND($K91*$U$15^2,0),0)</f>
        <v>0</v>
      </c>
      <c r="N91" s="216">
        <f>IF($A$1&gt;3,ROUND($K91*$U$15^3,0),0)</f>
        <v>0</v>
      </c>
      <c r="O91" s="216">
        <f>IF($A$1&gt;4,ROUND($K91*$U$15^4,0),0)</f>
        <v>0</v>
      </c>
      <c r="P91" s="217">
        <f>SUM(K91:O91)</f>
        <v>0</v>
      </c>
      <c r="Q91" s="1" t="s">
        <v>27</v>
      </c>
    </row>
    <row r="92" spans="1:18" ht="13.5">
      <c r="A92" s="170"/>
      <c r="B92" s="210"/>
      <c r="C92" s="210"/>
      <c r="D92" s="220"/>
      <c r="E92" s="220"/>
      <c r="F92" s="220"/>
      <c r="G92" s="220"/>
      <c r="H92" s="220"/>
      <c r="I92" s="230"/>
      <c r="J92" s="230" t="s">
        <v>19</v>
      </c>
      <c r="K92" s="231">
        <f>SUM(K88:K91)</f>
        <v>0</v>
      </c>
      <c r="L92" s="231">
        <f>IF($A$1&gt;1,SUM(L88:L91),0)</f>
        <v>0</v>
      </c>
      <c r="M92" s="231">
        <f>IF($A$1&gt;2,SUM(M88:M91),0)</f>
        <v>0</v>
      </c>
      <c r="N92" s="231">
        <f>IF($A$1&gt;3,SUM(N88:N91),0)</f>
        <v>0</v>
      </c>
      <c r="O92" s="231">
        <f>IF($A$1&gt;4,SUM(O88:O91),0)</f>
        <v>0</v>
      </c>
      <c r="P92" s="233">
        <f>SUM(K92:O92)</f>
        <v>0</v>
      </c>
    </row>
    <row r="93" spans="1:18">
      <c r="A93" s="170"/>
      <c r="B93" s="220"/>
      <c r="C93" s="220"/>
      <c r="D93" s="220"/>
      <c r="E93" s="220"/>
      <c r="F93" s="220"/>
      <c r="G93" s="220"/>
      <c r="H93" s="220"/>
      <c r="I93" s="183"/>
      <c r="J93" s="183"/>
      <c r="K93" s="191"/>
      <c r="L93" s="222"/>
      <c r="M93" s="222"/>
      <c r="N93" s="222"/>
      <c r="O93" s="222"/>
      <c r="P93" s="189"/>
    </row>
    <row r="94" spans="1:18">
      <c r="A94" s="170"/>
      <c r="B94" s="220"/>
      <c r="C94" s="220"/>
      <c r="D94" s="220"/>
      <c r="E94" s="220"/>
      <c r="F94" s="220"/>
      <c r="G94" s="220"/>
      <c r="H94" s="220"/>
      <c r="I94" s="183"/>
      <c r="J94" s="183"/>
      <c r="K94" s="191"/>
      <c r="L94" s="222"/>
      <c r="M94" s="222"/>
      <c r="N94" s="222"/>
      <c r="O94" s="222"/>
      <c r="P94" s="189"/>
    </row>
    <row r="95" spans="1:18">
      <c r="A95" s="170"/>
      <c r="B95" s="229" t="s">
        <v>230</v>
      </c>
      <c r="C95" s="210"/>
      <c r="D95" s="210"/>
      <c r="E95" s="210"/>
      <c r="F95" s="210"/>
      <c r="G95" s="210"/>
      <c r="H95" s="210"/>
      <c r="I95" s="183"/>
      <c r="J95" s="183"/>
      <c r="K95" s="191"/>
      <c r="L95" s="222"/>
      <c r="M95" s="222"/>
      <c r="N95" s="222"/>
      <c r="O95" s="222"/>
      <c r="P95" s="189"/>
      <c r="R95" s="14" t="s">
        <v>133</v>
      </c>
    </row>
    <row r="96" spans="1:18">
      <c r="A96" s="170"/>
      <c r="B96" s="345" t="s">
        <v>9</v>
      </c>
      <c r="C96" s="210"/>
      <c r="D96" s="210"/>
      <c r="E96" s="210"/>
      <c r="F96" s="210"/>
      <c r="G96" s="210"/>
      <c r="H96" s="210"/>
      <c r="I96" s="183"/>
      <c r="J96" s="183"/>
      <c r="K96" s="191">
        <v>0</v>
      </c>
      <c r="L96" s="191">
        <f>IF($A$1&gt;1,ROUND(K96*$U$15,0),0)</f>
        <v>0</v>
      </c>
      <c r="M96" s="191">
        <f>IF($A$1&gt;2,ROUND(K96*$U$15^2,0),0)</f>
        <v>0</v>
      </c>
      <c r="N96" s="191">
        <f>IF($A$1&gt;3,ROUND(K96*$U$15^3,0),0)</f>
        <v>0</v>
      </c>
      <c r="O96" s="191">
        <f>IF($A$1&gt;4,ROUND(K96*$U$15^4,0),0)</f>
        <v>0</v>
      </c>
      <c r="P96" s="189">
        <f>SUM(K96:O96)</f>
        <v>0</v>
      </c>
      <c r="R96" s="1" t="s">
        <v>117</v>
      </c>
    </row>
    <row r="97" spans="1:29">
      <c r="A97" s="170"/>
      <c r="B97" s="345" t="s">
        <v>10</v>
      </c>
      <c r="C97" s="210"/>
      <c r="D97" s="210"/>
      <c r="E97" s="210"/>
      <c r="F97" s="210"/>
      <c r="G97" s="210"/>
      <c r="H97" s="210"/>
      <c r="I97" s="183"/>
      <c r="J97" s="183"/>
      <c r="K97" s="191">
        <v>0</v>
      </c>
      <c r="L97" s="191">
        <f>IF($A$1&gt;1,ROUND(K97*$U$15,0),0)</f>
        <v>0</v>
      </c>
      <c r="M97" s="191">
        <f>IF($A$1&gt;2,ROUND(K97*$U$15^2,0),0)</f>
        <v>0</v>
      </c>
      <c r="N97" s="191">
        <f>IF($A$1&gt;3,ROUND(K97*$U$15^3,0),0)</f>
        <v>0</v>
      </c>
      <c r="O97" s="191">
        <f>IF($A$1&gt;4,ROUND(K97*$U$15^4,0),0)</f>
        <v>0</v>
      </c>
      <c r="P97" s="189">
        <f>SUM(K97:O97)</f>
        <v>0</v>
      </c>
      <c r="R97" s="1" t="s">
        <v>118</v>
      </c>
    </row>
    <row r="98" spans="1:29">
      <c r="A98" s="170"/>
      <c r="B98" s="345" t="s">
        <v>11</v>
      </c>
      <c r="C98" s="210"/>
      <c r="D98" s="210"/>
      <c r="E98" s="210"/>
      <c r="F98" s="210"/>
      <c r="G98" s="210"/>
      <c r="H98" s="210"/>
      <c r="I98" s="183"/>
      <c r="J98" s="183"/>
      <c r="K98" s="191">
        <v>0</v>
      </c>
      <c r="L98" s="191">
        <f>IF($A$1&gt;1,ROUND(K98*$U$15,0),0)</f>
        <v>0</v>
      </c>
      <c r="M98" s="191">
        <f>IF($A$1&gt;2,ROUND(K98*$U$15^2,0),0)</f>
        <v>0</v>
      </c>
      <c r="N98" s="191">
        <f>IF($A$1&gt;3,ROUND(K98*$U$15^3,0),0)</f>
        <v>0</v>
      </c>
      <c r="O98" s="191">
        <f>IF($A$1&gt;4,ROUND(K98*$U$15^4,0),0)</f>
        <v>0</v>
      </c>
      <c r="P98" s="189">
        <f>SUM(K98:O98)</f>
        <v>0</v>
      </c>
      <c r="Q98" s="22"/>
      <c r="R98" s="1" t="s">
        <v>119</v>
      </c>
    </row>
    <row r="99" spans="1:29">
      <c r="A99" s="170"/>
      <c r="B99" s="345" t="s">
        <v>12</v>
      </c>
      <c r="C99" s="210"/>
      <c r="D99" s="210"/>
      <c r="E99" s="210"/>
      <c r="F99" s="210"/>
      <c r="G99" s="210"/>
      <c r="H99" s="210"/>
      <c r="I99" s="183"/>
      <c r="J99" s="183"/>
      <c r="K99" s="216">
        <v>0</v>
      </c>
      <c r="L99" s="191">
        <f>IF($A$1&gt;1,ROUND(K99*$U$15,0),0)</f>
        <v>0</v>
      </c>
      <c r="M99" s="191">
        <f>IF($A$1&gt;2,ROUND(K99*$U$15^2,0),0)</f>
        <v>0</v>
      </c>
      <c r="N99" s="191">
        <f>IF($A$1&gt;3,ROUND(K99*$U$15^3,0),0)</f>
        <v>0</v>
      </c>
      <c r="O99" s="191">
        <f>IF($A$1&gt;4,ROUND(K99*$U$15^4,0),0)</f>
        <v>0</v>
      </c>
      <c r="P99" s="217">
        <f>SUM(K99:O99)</f>
        <v>0</v>
      </c>
      <c r="R99" s="14" t="s">
        <v>131</v>
      </c>
    </row>
    <row r="100" spans="1:29" ht="13.5">
      <c r="A100" s="170"/>
      <c r="B100" s="235"/>
      <c r="C100" s="235"/>
      <c r="D100" s="235"/>
      <c r="E100" s="254"/>
      <c r="F100" s="254"/>
      <c r="G100" s="254"/>
      <c r="H100" s="254"/>
      <c r="I100" s="230"/>
      <c r="J100" s="230" t="s">
        <v>13</v>
      </c>
      <c r="K100" s="231">
        <f>SUM(K96:K99)</f>
        <v>0</v>
      </c>
      <c r="L100" s="231">
        <f>IF($A$1&gt;1,SUM(L96:L99),0)</f>
        <v>0</v>
      </c>
      <c r="M100" s="231">
        <f>IF($A$1&gt;2,SUM(M96:M99),0)</f>
        <v>0</v>
      </c>
      <c r="N100" s="231">
        <f>IF($A$1&gt;3,SUM(N96:N99),0)</f>
        <v>0</v>
      </c>
      <c r="O100" s="231">
        <f>IF($A$1&gt;4,SUM(O96:O99),0)</f>
        <v>0</v>
      </c>
      <c r="P100" s="233">
        <f>SUM(K100:O100)</f>
        <v>0</v>
      </c>
      <c r="R100" s="1" t="s">
        <v>132</v>
      </c>
    </row>
    <row r="101" spans="1:29">
      <c r="A101" s="351"/>
      <c r="B101" s="352"/>
      <c r="C101" s="352"/>
      <c r="D101" s="352"/>
      <c r="E101" s="352"/>
      <c r="F101" s="352"/>
      <c r="G101" s="352"/>
      <c r="H101" s="352"/>
      <c r="I101" s="308"/>
      <c r="J101" s="308"/>
      <c r="K101" s="216"/>
      <c r="L101" s="353"/>
      <c r="M101" s="353"/>
      <c r="N101" s="353"/>
      <c r="O101" s="353"/>
      <c r="P101" s="217"/>
      <c r="Q101" s="138"/>
      <c r="R101" s="138"/>
      <c r="S101" s="138"/>
      <c r="T101" s="138"/>
      <c r="U101" s="138"/>
      <c r="V101" s="138"/>
      <c r="W101" s="138"/>
      <c r="X101" s="138"/>
      <c r="Y101" s="138"/>
      <c r="Z101" s="138"/>
      <c r="AA101" s="138"/>
      <c r="AB101" s="138"/>
      <c r="AC101" s="138"/>
    </row>
    <row r="102" spans="1:29">
      <c r="A102" s="170"/>
      <c r="B102" s="229" t="s">
        <v>229</v>
      </c>
      <c r="C102" s="229"/>
      <c r="D102" s="170"/>
      <c r="E102" s="170"/>
      <c r="F102" s="170"/>
      <c r="G102" s="170"/>
      <c r="H102" s="170"/>
      <c r="I102" s="170"/>
      <c r="J102" s="170"/>
      <c r="K102" s="191"/>
      <c r="L102" s="191"/>
      <c r="M102" s="191"/>
      <c r="N102" s="191"/>
      <c r="O102" s="191"/>
      <c r="P102" s="189"/>
    </row>
    <row r="103" spans="1:29">
      <c r="A103" s="170"/>
      <c r="B103" s="229"/>
      <c r="C103" s="229"/>
      <c r="D103" s="170"/>
      <c r="E103" s="170"/>
      <c r="F103" s="170"/>
      <c r="G103" s="170"/>
      <c r="H103" s="170"/>
      <c r="I103" s="170"/>
      <c r="J103" s="170"/>
      <c r="K103" s="191"/>
      <c r="L103" s="191"/>
      <c r="M103" s="191"/>
      <c r="N103" s="191"/>
      <c r="O103" s="191"/>
      <c r="P103" s="189"/>
      <c r="R103" s="22"/>
    </row>
    <row r="104" spans="1:29">
      <c r="A104" s="170"/>
      <c r="B104" s="210" t="s">
        <v>231</v>
      </c>
      <c r="C104" s="229"/>
      <c r="D104" s="170"/>
      <c r="E104" s="170"/>
      <c r="F104" s="170"/>
      <c r="G104" s="170"/>
      <c r="H104" s="170"/>
      <c r="I104" s="183"/>
      <c r="J104" s="183"/>
      <c r="K104" s="191"/>
      <c r="L104" s="191"/>
      <c r="M104" s="191"/>
      <c r="N104" s="191"/>
      <c r="O104" s="191"/>
      <c r="P104" s="189"/>
    </row>
    <row r="105" spans="1:29">
      <c r="A105" s="170"/>
      <c r="B105" s="170"/>
      <c r="C105" s="170"/>
      <c r="D105" s="170"/>
      <c r="E105" s="170"/>
      <c r="F105" s="170"/>
      <c r="G105" s="170"/>
      <c r="H105" s="170"/>
      <c r="I105" s="183"/>
      <c r="J105" s="183"/>
      <c r="K105" s="191">
        <v>0</v>
      </c>
      <c r="L105" s="191">
        <f>IF($A$1&gt;1,ROUND($K105*$U$15,0),0)</f>
        <v>0</v>
      </c>
      <c r="M105" s="191">
        <f>IF($A$1&gt;2,ROUND($K105*$U$15^2,0),0)</f>
        <v>0</v>
      </c>
      <c r="N105" s="191">
        <f>IF($A$1&gt;3,ROUND($K105*$U$15^3,0),0)</f>
        <v>0</v>
      </c>
      <c r="O105" s="191">
        <f>IF($A$1&gt;4,ROUND($K105*$U$15^4,0),0)</f>
        <v>0</v>
      </c>
      <c r="P105" s="189">
        <f>SUM(K105:O105)</f>
        <v>0</v>
      </c>
    </row>
    <row r="106" spans="1:29">
      <c r="A106" s="170"/>
      <c r="B106" s="170"/>
      <c r="C106" s="170"/>
      <c r="D106" s="170"/>
      <c r="E106" s="170"/>
      <c r="F106" s="170"/>
      <c r="G106" s="170"/>
      <c r="H106" s="170"/>
      <c r="I106" s="183"/>
      <c r="J106" s="183"/>
      <c r="K106" s="191">
        <v>0</v>
      </c>
      <c r="L106" s="191">
        <f>IF($A$1&gt;1,ROUND($K106*$U$15,0),0)</f>
        <v>0</v>
      </c>
      <c r="M106" s="191">
        <f>IF($A$1&gt;2,ROUND($K106*$U$15^2,0),0)</f>
        <v>0</v>
      </c>
      <c r="N106" s="191">
        <f>IF($A$1&gt;3,ROUND($K106*$U$15^3,0),0)</f>
        <v>0</v>
      </c>
      <c r="O106" s="191">
        <f>IF($A$1&gt;4,ROUND($K106*$U$15^4,0),0)</f>
        <v>0</v>
      </c>
      <c r="P106" s="189">
        <f>SUM(K106:O106)</f>
        <v>0</v>
      </c>
      <c r="R106" s="22"/>
    </row>
    <row r="107" spans="1:29">
      <c r="A107" s="170"/>
      <c r="B107" s="170"/>
      <c r="C107" s="183"/>
      <c r="D107" s="170"/>
      <c r="E107" s="170"/>
      <c r="F107" s="170"/>
      <c r="G107" s="170"/>
      <c r="H107" s="170"/>
      <c r="I107" s="183"/>
      <c r="J107" s="183"/>
      <c r="K107" s="191">
        <v>0</v>
      </c>
      <c r="L107" s="191">
        <f>IF($A$1&gt;1,ROUND($K107*$U$15,0),0)</f>
        <v>0</v>
      </c>
      <c r="M107" s="191">
        <f>IF($A$1&gt;2,ROUND($K107*$U$15^2,0),0)</f>
        <v>0</v>
      </c>
      <c r="N107" s="191">
        <f>IF($A$1&gt;3,ROUND($K107*$U$15^3,0),0)</f>
        <v>0</v>
      </c>
      <c r="O107" s="191">
        <f>IF($A$1&gt;4,ROUND($K107*$U$15^4,0),0)</f>
        <v>0</v>
      </c>
      <c r="P107" s="189">
        <f>SUM(K107:O107)</f>
        <v>0</v>
      </c>
    </row>
    <row r="108" spans="1:29">
      <c r="A108" s="170"/>
      <c r="B108" s="183"/>
      <c r="C108" s="183"/>
      <c r="D108" s="170"/>
      <c r="E108" s="170"/>
      <c r="F108" s="170"/>
      <c r="G108" s="170"/>
      <c r="H108" s="170"/>
      <c r="I108" s="183"/>
      <c r="J108" s="183"/>
      <c r="K108" s="216">
        <v>0</v>
      </c>
      <c r="L108" s="216">
        <f>IF($A$1&gt;1,ROUND($K108*$U$15,0),0)</f>
        <v>0</v>
      </c>
      <c r="M108" s="216">
        <f>IF($A$1&gt;2,ROUND($K108*$U$15^2,0),0)</f>
        <v>0</v>
      </c>
      <c r="N108" s="216">
        <f>IF($A$1&gt;3,ROUND($K108*$U$15^3,0),0)</f>
        <v>0</v>
      </c>
      <c r="O108" s="216">
        <f>IF($A$1&gt;4,ROUND($K108*$U$15^4,0),0)</f>
        <v>0</v>
      </c>
      <c r="P108" s="217">
        <f>SUM(K108:O108)</f>
        <v>0</v>
      </c>
    </row>
    <row r="109" spans="1:29" ht="13.5">
      <c r="A109" s="170"/>
      <c r="B109" s="170"/>
      <c r="C109" s="170"/>
      <c r="D109" s="170"/>
      <c r="E109" s="170"/>
      <c r="F109" s="170"/>
      <c r="G109" s="174"/>
      <c r="H109" s="174"/>
      <c r="I109" s="230"/>
      <c r="J109" s="230" t="s">
        <v>20</v>
      </c>
      <c r="K109" s="231">
        <f>SUM(K104:K108)</f>
        <v>0</v>
      </c>
      <c r="L109" s="231">
        <f>IF($A$1&gt;1,SUM(L104:L108),0)</f>
        <v>0</v>
      </c>
      <c r="M109" s="231">
        <f>IF($A$1&gt;2,SUM(M104:M108),0)</f>
        <v>0</v>
      </c>
      <c r="N109" s="231">
        <f>IF($A$1&gt;3,SUM(N104:N108),0)</f>
        <v>0</v>
      </c>
      <c r="O109" s="232">
        <f>IF($A$1&gt;4,SUM(O104:O108),0)</f>
        <v>0</v>
      </c>
      <c r="P109" s="233">
        <f>SUM(K109:O109)</f>
        <v>0</v>
      </c>
    </row>
    <row r="110" spans="1:29" ht="13.5">
      <c r="A110" s="170"/>
      <c r="B110" s="170"/>
      <c r="C110" s="170"/>
      <c r="D110" s="170"/>
      <c r="E110" s="170"/>
      <c r="F110" s="170"/>
      <c r="G110" s="174"/>
      <c r="H110" s="174"/>
      <c r="I110" s="230"/>
      <c r="J110" s="230"/>
      <c r="K110" s="344"/>
      <c r="L110" s="344"/>
      <c r="M110" s="344"/>
      <c r="N110" s="344"/>
      <c r="O110" s="344"/>
      <c r="P110" s="234"/>
    </row>
    <row r="111" spans="1:29" ht="13.5">
      <c r="A111" s="170"/>
      <c r="B111" s="170" t="s">
        <v>232</v>
      </c>
      <c r="C111" s="170"/>
      <c r="D111" s="170"/>
      <c r="E111" s="170"/>
      <c r="F111" s="170"/>
      <c r="G111" s="174"/>
      <c r="H111" s="174"/>
      <c r="I111" s="230"/>
      <c r="J111" s="230"/>
      <c r="K111" s="344"/>
      <c r="L111" s="344"/>
      <c r="M111" s="344"/>
      <c r="N111" s="344"/>
      <c r="O111" s="344"/>
      <c r="P111" s="234"/>
    </row>
    <row r="112" spans="1:29" ht="13.5">
      <c r="A112" s="170"/>
      <c r="B112" s="170"/>
      <c r="C112" s="170"/>
      <c r="D112" s="170"/>
      <c r="E112" s="170"/>
      <c r="F112" s="170"/>
      <c r="G112" s="174"/>
      <c r="H112" s="174"/>
      <c r="I112" s="230"/>
      <c r="J112" s="230"/>
      <c r="K112" s="216">
        <v>0</v>
      </c>
      <c r="L112" s="216">
        <f>IF($A$1&gt;1,ROUND($K112*$U$15,0),0)</f>
        <v>0</v>
      </c>
      <c r="M112" s="216">
        <f>IF($A$1&gt;2,ROUND($K112*$U$15^2,0),0)</f>
        <v>0</v>
      </c>
      <c r="N112" s="216">
        <f>IF($A$1&gt;3,ROUND($K112*$U$15^3,0),0)</f>
        <v>0</v>
      </c>
      <c r="O112" s="216">
        <f>IF($A$1&gt;4,ROUND($K112*$U$15^4,0),0)</f>
        <v>0</v>
      </c>
      <c r="P112" s="217">
        <f>SUM(K112:O112)</f>
        <v>0</v>
      </c>
    </row>
    <row r="113" spans="1:21" ht="13.5">
      <c r="A113" s="170"/>
      <c r="B113" s="170"/>
      <c r="C113" s="170"/>
      <c r="D113" s="170"/>
      <c r="E113" s="170"/>
      <c r="F113" s="170"/>
      <c r="G113" s="174"/>
      <c r="H113" s="174"/>
      <c r="J113" s="230" t="s">
        <v>243</v>
      </c>
      <c r="K113" s="231">
        <f>SUM(K112)</f>
        <v>0</v>
      </c>
      <c r="L113" s="231">
        <f>SUM(L112)</f>
        <v>0</v>
      </c>
      <c r="M113" s="231">
        <f>SUM(M112)</f>
        <v>0</v>
      </c>
      <c r="N113" s="231">
        <f>SUM(N112)</f>
        <v>0</v>
      </c>
      <c r="O113" s="231">
        <f>SUM(O112)</f>
        <v>0</v>
      </c>
      <c r="P113" s="233">
        <f>SUM(K113:O113)</f>
        <v>0</v>
      </c>
    </row>
    <row r="114" spans="1:21" ht="13.5">
      <c r="A114" s="170"/>
      <c r="B114" s="170"/>
      <c r="C114" s="170"/>
      <c r="D114" s="170"/>
      <c r="E114" s="170"/>
      <c r="F114" s="170"/>
      <c r="G114" s="174"/>
      <c r="H114" s="174"/>
      <c r="J114" s="230"/>
      <c r="K114" s="344"/>
      <c r="L114" s="344"/>
      <c r="M114" s="344"/>
      <c r="N114" s="344"/>
      <c r="O114" s="344"/>
      <c r="P114" s="234"/>
    </row>
    <row r="115" spans="1:21" ht="13.5">
      <c r="A115" s="170"/>
      <c r="B115" s="170" t="s">
        <v>233</v>
      </c>
      <c r="C115" s="170"/>
      <c r="D115" s="170"/>
      <c r="E115" s="170"/>
      <c r="F115" s="170"/>
      <c r="G115" s="174"/>
      <c r="H115" s="174"/>
      <c r="I115" s="230"/>
      <c r="J115" s="230"/>
      <c r="K115" s="344"/>
      <c r="L115" s="344"/>
      <c r="M115" s="344"/>
      <c r="N115" s="344"/>
      <c r="O115" s="344"/>
      <c r="P115" s="234"/>
    </row>
    <row r="116" spans="1:21" ht="13.5">
      <c r="A116" s="170"/>
      <c r="B116" s="170"/>
      <c r="C116" s="170"/>
      <c r="D116" s="170"/>
      <c r="E116" s="170"/>
      <c r="F116" s="170"/>
      <c r="G116" s="174"/>
      <c r="H116" s="174"/>
      <c r="I116" s="230"/>
      <c r="J116" s="230"/>
      <c r="K116" s="198">
        <v>0</v>
      </c>
      <c r="L116" s="198">
        <f>IF($A$1&gt;1,ROUND($K116*$U$15,0),0)</f>
        <v>0</v>
      </c>
      <c r="M116" s="198">
        <f>IF($A$1&gt;2,ROUND($K116*$U$15^2,0),0)</f>
        <v>0</v>
      </c>
      <c r="N116" s="198">
        <f>IF($A$1&gt;3,ROUND($K116*$U$15^3,0),0)</f>
        <v>0</v>
      </c>
      <c r="O116" s="198">
        <f>IF($A$1&gt;4,ROUND($K116*$U$15^4,0),0)</f>
        <v>0</v>
      </c>
      <c r="P116" s="234">
        <f>SUM(K116:O116)</f>
        <v>0</v>
      </c>
    </row>
    <row r="117" spans="1:21" ht="13.5">
      <c r="A117" s="170"/>
      <c r="B117" s="170"/>
      <c r="C117" s="170"/>
      <c r="D117" s="170"/>
      <c r="E117" s="170"/>
      <c r="F117" s="170"/>
      <c r="G117" s="174"/>
      <c r="H117" s="174"/>
      <c r="I117" s="230"/>
      <c r="J117" s="230"/>
      <c r="K117" s="216">
        <v>0</v>
      </c>
      <c r="L117" s="216">
        <f>IF($A$1&gt;1,ROUND($K117*$U$15,0),0)</f>
        <v>0</v>
      </c>
      <c r="M117" s="216">
        <f>IF($A$1&gt;2,ROUND($K117*$U$15^2,0),0)</f>
        <v>0</v>
      </c>
      <c r="N117" s="216">
        <f>IF($A$1&gt;3,ROUND($K117*$U$15^3,0),0)</f>
        <v>0</v>
      </c>
      <c r="O117" s="216">
        <f>IF($A$1&gt;4,ROUND($K117*$U$15^4,0),0)</f>
        <v>0</v>
      </c>
      <c r="P117" s="217">
        <f>SUM(K117:O117)</f>
        <v>0</v>
      </c>
    </row>
    <row r="118" spans="1:21" ht="13.5">
      <c r="A118" s="170"/>
      <c r="B118" s="170"/>
      <c r="C118" s="170"/>
      <c r="D118" s="170"/>
      <c r="E118" s="170"/>
      <c r="F118" s="170"/>
      <c r="G118" s="174"/>
      <c r="H118" s="174"/>
      <c r="I118" s="230"/>
      <c r="J118" s="230" t="s">
        <v>236</v>
      </c>
      <c r="K118" s="231">
        <f>SUM(K116:K117)</f>
        <v>0</v>
      </c>
      <c r="L118" s="231">
        <f>SUM(L116:L117)</f>
        <v>0</v>
      </c>
      <c r="M118" s="231">
        <f>SUM(M116:M117)</f>
        <v>0</v>
      </c>
      <c r="N118" s="231">
        <f>SUM(N116:N117)</f>
        <v>0</v>
      </c>
      <c r="O118" s="231">
        <f>SUM(O116:O117)</f>
        <v>0</v>
      </c>
      <c r="P118" s="233">
        <f>SUM(K118:O118)</f>
        <v>0</v>
      </c>
    </row>
    <row r="119" spans="1:21" ht="13.5">
      <c r="A119" s="170"/>
      <c r="B119" s="170"/>
      <c r="C119" s="170"/>
      <c r="D119" s="170"/>
      <c r="E119" s="170"/>
      <c r="F119" s="170"/>
      <c r="G119" s="174"/>
      <c r="H119" s="174"/>
      <c r="I119" s="230"/>
      <c r="J119" s="230"/>
      <c r="K119" s="344"/>
      <c r="L119" s="344"/>
      <c r="M119" s="344"/>
      <c r="N119" s="344"/>
      <c r="O119" s="344"/>
      <c r="P119" s="234"/>
    </row>
    <row r="120" spans="1:21" ht="13.5">
      <c r="A120" s="170"/>
      <c r="B120" s="170" t="s">
        <v>234</v>
      </c>
      <c r="C120" s="170"/>
      <c r="D120" s="170"/>
      <c r="E120" s="170"/>
      <c r="F120" s="170"/>
      <c r="G120" s="174"/>
      <c r="H120" s="174"/>
      <c r="I120" s="230"/>
      <c r="J120" s="230"/>
      <c r="K120" s="344"/>
      <c r="L120" s="344"/>
      <c r="M120" s="344"/>
      <c r="N120" s="344"/>
      <c r="O120" s="344"/>
      <c r="P120" s="234"/>
    </row>
    <row r="121" spans="1:21" ht="13.5">
      <c r="A121" s="170"/>
      <c r="B121" s="170"/>
      <c r="C121" s="170"/>
      <c r="D121" s="170"/>
      <c r="E121" s="170"/>
      <c r="F121" s="170"/>
      <c r="G121" s="174"/>
      <c r="H121" s="174"/>
      <c r="I121" s="230"/>
      <c r="J121" s="230"/>
      <c r="K121" s="216">
        <v>0</v>
      </c>
      <c r="L121" s="216">
        <f>IF($A$1&gt;1,ROUND($K121*$U$15,0),0)</f>
        <v>0</v>
      </c>
      <c r="M121" s="216">
        <f>IF($A$1&gt;2,ROUND($K121*$U$15^2,0),0)</f>
        <v>0</v>
      </c>
      <c r="N121" s="216">
        <f>IF($A$1&gt;3,ROUND($K121*$U$15^3,0),0)</f>
        <v>0</v>
      </c>
      <c r="O121" s="216">
        <f>IF($A$1&gt;4,ROUND($K121*$U$15^4,0),0)</f>
        <v>0</v>
      </c>
      <c r="P121" s="217">
        <f>SUM(K121:O121)</f>
        <v>0</v>
      </c>
    </row>
    <row r="122" spans="1:21" ht="13.5">
      <c r="A122" s="170"/>
      <c r="B122" s="170"/>
      <c r="C122" s="170"/>
      <c r="D122" s="170"/>
      <c r="E122" s="170"/>
      <c r="F122" s="170"/>
      <c r="G122" s="174"/>
      <c r="H122" s="174"/>
      <c r="I122" s="230"/>
      <c r="J122" s="230" t="s">
        <v>237</v>
      </c>
      <c r="K122" s="231">
        <f>SUM(K121)</f>
        <v>0</v>
      </c>
      <c r="L122" s="231">
        <f>SUM(L121)</f>
        <v>0</v>
      </c>
      <c r="M122" s="231">
        <f>SUM(M121)</f>
        <v>0</v>
      </c>
      <c r="N122" s="231">
        <f>SUM(N121)</f>
        <v>0</v>
      </c>
      <c r="O122" s="231">
        <f>SUM(O121)</f>
        <v>0</v>
      </c>
      <c r="P122" s="233">
        <f>SUM(K122:O122)</f>
        <v>0</v>
      </c>
      <c r="R122" s="22"/>
    </row>
    <row r="123" spans="1:21" ht="13.5">
      <c r="A123" s="170"/>
      <c r="B123" s="170"/>
      <c r="C123" s="170"/>
      <c r="D123" s="170"/>
      <c r="E123" s="170"/>
      <c r="F123" s="170"/>
      <c r="G123" s="174"/>
      <c r="H123" s="174"/>
      <c r="I123" s="230"/>
      <c r="J123" s="230"/>
      <c r="K123" s="344"/>
      <c r="L123" s="344"/>
      <c r="M123" s="344"/>
      <c r="N123" s="344"/>
      <c r="O123" s="344"/>
      <c r="P123" s="234"/>
      <c r="Q123" s="12" t="s">
        <v>23</v>
      </c>
      <c r="R123" s="22"/>
    </row>
    <row r="124" spans="1:21">
      <c r="A124" s="170"/>
      <c r="B124" s="210" t="s">
        <v>235</v>
      </c>
      <c r="C124" s="229"/>
      <c r="D124" s="210"/>
      <c r="E124" s="210"/>
      <c r="F124" s="210"/>
      <c r="G124" s="210"/>
      <c r="H124" s="210"/>
      <c r="I124" s="183"/>
      <c r="J124" s="183"/>
      <c r="K124" s="191"/>
      <c r="L124" s="222"/>
      <c r="M124" s="222"/>
      <c r="N124" s="222"/>
      <c r="O124" s="222"/>
      <c r="P124" s="189"/>
      <c r="Q124" s="13" t="s">
        <v>24</v>
      </c>
    </row>
    <row r="125" spans="1:21">
      <c r="A125" s="170"/>
      <c r="B125" s="210" t="s">
        <v>226</v>
      </c>
      <c r="C125" s="210"/>
      <c r="D125" s="210"/>
      <c r="E125" s="210"/>
      <c r="F125" s="210"/>
      <c r="G125" s="210"/>
      <c r="H125" s="210"/>
      <c r="I125" s="183"/>
      <c r="J125" s="183" t="s">
        <v>244</v>
      </c>
      <c r="K125" s="212">
        <v>0</v>
      </c>
      <c r="L125" s="212"/>
      <c r="M125" s="212"/>
      <c r="N125" s="212"/>
      <c r="O125" s="212"/>
      <c r="P125" s="188">
        <f>SUM(K125:O125)</f>
        <v>0</v>
      </c>
    </row>
    <row r="126" spans="1:21">
      <c r="A126" s="170"/>
      <c r="B126" s="210"/>
      <c r="C126" s="210"/>
      <c r="D126" s="210"/>
      <c r="E126" s="210"/>
      <c r="F126" s="210"/>
      <c r="G126" s="210"/>
      <c r="H126" s="210"/>
      <c r="I126" s="183"/>
      <c r="J126" s="183" t="s">
        <v>245</v>
      </c>
      <c r="K126" s="212">
        <v>0</v>
      </c>
      <c r="L126" s="212">
        <v>0</v>
      </c>
      <c r="M126" s="212">
        <v>0</v>
      </c>
      <c r="N126" s="212">
        <v>0</v>
      </c>
      <c r="O126" s="212">
        <v>0</v>
      </c>
      <c r="P126" s="188">
        <f t="shared" ref="P126:P137" si="25">SUM(K126:O126)</f>
        <v>0</v>
      </c>
      <c r="Q126" s="19">
        <f>SUM(P125:P126)</f>
        <v>0</v>
      </c>
      <c r="S126" s="9"/>
      <c r="T126" s="14"/>
      <c r="U126" s="14"/>
    </row>
    <row r="127" spans="1:21" ht="13.5" thickBot="1">
      <c r="A127" s="170" t="s">
        <v>27</v>
      </c>
      <c r="B127" s="236"/>
      <c r="C127" s="236"/>
      <c r="D127" s="236"/>
      <c r="E127" s="236"/>
      <c r="F127" s="236"/>
      <c r="G127" s="236"/>
      <c r="H127" s="236"/>
      <c r="I127" s="237"/>
      <c r="J127" s="237"/>
      <c r="K127" s="214"/>
      <c r="L127" s="214"/>
      <c r="M127" s="214"/>
      <c r="N127" s="214"/>
      <c r="O127" s="214"/>
      <c r="P127" s="238"/>
      <c r="Q127" s="14"/>
    </row>
    <row r="128" spans="1:21">
      <c r="A128" s="170"/>
      <c r="B128" s="239" t="s">
        <v>227</v>
      </c>
      <c r="C128" s="239"/>
      <c r="D128" s="239"/>
      <c r="E128" s="239"/>
      <c r="F128" s="239"/>
      <c r="G128" s="239"/>
      <c r="H128" s="239"/>
      <c r="I128" s="240"/>
      <c r="J128" s="240" t="s">
        <v>244</v>
      </c>
      <c r="K128" s="241">
        <v>0</v>
      </c>
      <c r="L128" s="241"/>
      <c r="M128" s="241"/>
      <c r="N128" s="241"/>
      <c r="O128" s="241"/>
      <c r="P128" s="242">
        <f t="shared" si="25"/>
        <v>0</v>
      </c>
    </row>
    <row r="129" spans="1:20">
      <c r="A129" s="170"/>
      <c r="B129" s="210"/>
      <c r="C129" s="210"/>
      <c r="D129" s="210"/>
      <c r="E129" s="210"/>
      <c r="F129" s="210"/>
      <c r="G129" s="210"/>
      <c r="H129" s="210"/>
      <c r="I129" s="183"/>
      <c r="J129" s="183" t="s">
        <v>245</v>
      </c>
      <c r="K129" s="212">
        <v>0</v>
      </c>
      <c r="L129" s="212">
        <v>0</v>
      </c>
      <c r="M129" s="212">
        <v>0</v>
      </c>
      <c r="N129" s="212">
        <v>0</v>
      </c>
      <c r="O129" s="212">
        <v>0</v>
      </c>
      <c r="P129" s="188">
        <f t="shared" si="25"/>
        <v>0</v>
      </c>
      <c r="Q129" s="19">
        <f>SUM(P128:P129)</f>
        <v>0</v>
      </c>
    </row>
    <row r="130" spans="1:20" ht="13.5" thickBot="1">
      <c r="A130" s="170"/>
      <c r="B130" s="236"/>
      <c r="C130" s="236"/>
      <c r="D130" s="236"/>
      <c r="E130" s="236"/>
      <c r="F130" s="236"/>
      <c r="G130" s="236"/>
      <c r="H130" s="236"/>
      <c r="I130" s="237"/>
      <c r="J130" s="237"/>
      <c r="K130" s="214"/>
      <c r="L130" s="214"/>
      <c r="M130" s="214"/>
      <c r="N130" s="214"/>
      <c r="O130" s="214"/>
      <c r="P130" s="238"/>
    </row>
    <row r="131" spans="1:20">
      <c r="A131" s="170"/>
      <c r="B131" s="239" t="s">
        <v>228</v>
      </c>
      <c r="C131" s="239"/>
      <c r="D131" s="239"/>
      <c r="E131" s="239"/>
      <c r="F131" s="239"/>
      <c r="G131" s="239"/>
      <c r="H131" s="239"/>
      <c r="I131" s="240"/>
      <c r="J131" s="240" t="s">
        <v>244</v>
      </c>
      <c r="K131" s="241">
        <v>0</v>
      </c>
      <c r="L131" s="241"/>
      <c r="M131" s="241"/>
      <c r="N131" s="241"/>
      <c r="O131" s="241"/>
      <c r="P131" s="242">
        <f t="shared" si="25"/>
        <v>0</v>
      </c>
      <c r="Q131" s="19"/>
    </row>
    <row r="132" spans="1:20">
      <c r="A132" s="170"/>
      <c r="B132" s="210"/>
      <c r="C132" s="210"/>
      <c r="D132" s="210"/>
      <c r="E132" s="210"/>
      <c r="F132" s="210"/>
      <c r="G132" s="210"/>
      <c r="H132" s="210"/>
      <c r="I132" s="183"/>
      <c r="J132" s="183" t="s">
        <v>245</v>
      </c>
      <c r="K132" s="212">
        <v>0</v>
      </c>
      <c r="L132" s="212">
        <v>0</v>
      </c>
      <c r="M132" s="212">
        <v>0</v>
      </c>
      <c r="N132" s="212">
        <v>0</v>
      </c>
      <c r="O132" s="212">
        <v>0</v>
      </c>
      <c r="P132" s="188">
        <f t="shared" si="25"/>
        <v>0</v>
      </c>
      <c r="Q132" s="19">
        <f>SUM(P131:P132)</f>
        <v>0</v>
      </c>
    </row>
    <row r="133" spans="1:20" ht="13.5" thickBot="1">
      <c r="A133" s="170"/>
      <c r="B133" s="236"/>
      <c r="C133" s="236"/>
      <c r="D133" s="236"/>
      <c r="E133" s="236"/>
      <c r="F133" s="236"/>
      <c r="G133" s="236"/>
      <c r="H133" s="236"/>
      <c r="I133" s="237"/>
      <c r="J133" s="237"/>
      <c r="K133" s="214"/>
      <c r="L133" s="214"/>
      <c r="M133" s="214"/>
      <c r="N133" s="214"/>
      <c r="O133" s="214"/>
      <c r="P133" s="238"/>
    </row>
    <row r="134" spans="1:20">
      <c r="A134" s="170"/>
      <c r="B134" s="243"/>
      <c r="C134" s="243"/>
      <c r="D134" s="244" t="s">
        <v>22</v>
      </c>
      <c r="E134" s="244"/>
      <c r="F134" s="244"/>
      <c r="G134" s="244"/>
      <c r="H134" s="244"/>
      <c r="I134" s="244"/>
      <c r="J134" s="240" t="s">
        <v>244</v>
      </c>
      <c r="K134" s="245">
        <f>K125+K128+K131</f>
        <v>0</v>
      </c>
      <c r="L134" s="245">
        <f>IF($A$1&gt;1,L125+L128+L131,0)</f>
        <v>0</v>
      </c>
      <c r="M134" s="245">
        <f>IF($A$1&gt;2,M125+M128+M131,0)</f>
        <v>0</v>
      </c>
      <c r="N134" s="245">
        <f>IF($A$1&gt;3,N125+N128+N131,0)</f>
        <v>0</v>
      </c>
      <c r="O134" s="245">
        <f>IF($A$1&gt;4,O125+O128+O131,0)</f>
        <v>0</v>
      </c>
      <c r="P134" s="246">
        <f>SUM(K134:O134)</f>
        <v>0</v>
      </c>
    </row>
    <row r="135" spans="1:20">
      <c r="A135" s="170"/>
      <c r="B135" s="247"/>
      <c r="C135" s="247"/>
      <c r="D135" s="248" t="s">
        <v>22</v>
      </c>
      <c r="E135" s="248"/>
      <c r="F135" s="248"/>
      <c r="G135" s="248"/>
      <c r="H135" s="248"/>
      <c r="I135" s="248"/>
      <c r="J135" s="183" t="s">
        <v>245</v>
      </c>
      <c r="K135" s="216">
        <f>K126+K129+K132</f>
        <v>0</v>
      </c>
      <c r="L135" s="216">
        <f>IF($A$1&gt;1,L126+L129+L132,0)</f>
        <v>0</v>
      </c>
      <c r="M135" s="216">
        <f>IF($A$1&gt;2,M126+M129+M132,0)</f>
        <v>0</v>
      </c>
      <c r="N135" s="216">
        <f>IF($A$1&gt;3,N126+N129+N132,0)</f>
        <v>0</v>
      </c>
      <c r="O135" s="216">
        <f>IF($A$1&gt;4,O126+O129+O132,0)</f>
        <v>0</v>
      </c>
      <c r="P135" s="249">
        <f t="shared" si="25"/>
        <v>0</v>
      </c>
      <c r="Q135" s="20">
        <f>SUM(P134:P135)</f>
        <v>0</v>
      </c>
    </row>
    <row r="136" spans="1:20">
      <c r="A136" s="170"/>
      <c r="B136" s="250"/>
      <c r="C136" s="236"/>
      <c r="D136" s="236"/>
      <c r="E136" s="236"/>
      <c r="F136" s="236"/>
      <c r="G136" s="236"/>
      <c r="H136" s="236"/>
      <c r="I136" s="237"/>
      <c r="J136" s="237"/>
      <c r="K136" s="251"/>
      <c r="L136" s="251"/>
      <c r="M136" s="251"/>
      <c r="N136" s="251"/>
      <c r="O136" s="251"/>
      <c r="P136" s="252"/>
      <c r="T136" s="1" t="s">
        <v>27</v>
      </c>
    </row>
    <row r="137" spans="1:20" ht="13.5">
      <c r="A137" s="170"/>
      <c r="B137" s="247"/>
      <c r="C137" s="247"/>
      <c r="D137" s="248"/>
      <c r="E137" s="248"/>
      <c r="F137" s="253"/>
      <c r="G137" s="253"/>
      <c r="H137" s="253"/>
      <c r="I137" s="253"/>
      <c r="J137" s="253" t="s">
        <v>22</v>
      </c>
      <c r="K137" s="222">
        <f>K134+K135</f>
        <v>0</v>
      </c>
      <c r="L137" s="222">
        <f>IF($A$1&gt;1,L134+L135,0)</f>
        <v>0</v>
      </c>
      <c r="M137" s="222">
        <f>IF($A$1&gt;2,M134+M135,0)</f>
        <v>0</v>
      </c>
      <c r="N137" s="222">
        <f>IF($A$1&gt;3,N134+N135,0)</f>
        <v>0</v>
      </c>
      <c r="O137" s="222">
        <f>IF($A$1&gt;4,O134+O135,0)</f>
        <v>0</v>
      </c>
      <c r="P137" s="234">
        <f t="shared" si="25"/>
        <v>0</v>
      </c>
    </row>
    <row r="138" spans="1:20" ht="13.5">
      <c r="A138" s="170"/>
      <c r="B138" s="247"/>
      <c r="C138" s="247"/>
      <c r="D138" s="248"/>
      <c r="E138" s="248"/>
      <c r="F138" s="253"/>
      <c r="G138" s="253"/>
      <c r="H138" s="253"/>
      <c r="I138" s="253"/>
      <c r="J138" s="253"/>
      <c r="K138" s="222"/>
      <c r="L138" s="222"/>
      <c r="M138" s="222"/>
      <c r="N138" s="222"/>
      <c r="O138" s="222"/>
      <c r="P138" s="234"/>
    </row>
    <row r="139" spans="1:20">
      <c r="A139" s="170"/>
      <c r="B139" s="210" t="s">
        <v>239</v>
      </c>
      <c r="C139" s="210"/>
      <c r="D139" s="210"/>
      <c r="E139" s="210"/>
      <c r="F139" s="210"/>
      <c r="G139" s="210"/>
      <c r="H139" s="210"/>
      <c r="I139" s="183"/>
      <c r="J139" s="183"/>
      <c r="K139" s="191"/>
      <c r="L139" s="191"/>
      <c r="M139" s="191"/>
      <c r="N139" s="191"/>
      <c r="O139" s="191"/>
      <c r="P139" s="189"/>
    </row>
    <row r="140" spans="1:20">
      <c r="A140" s="170"/>
      <c r="B140" s="210" t="s">
        <v>81</v>
      </c>
      <c r="C140" s="210"/>
      <c r="D140" s="210"/>
      <c r="E140" s="210"/>
      <c r="F140" s="210"/>
      <c r="G140" s="210"/>
      <c r="H140" s="210"/>
      <c r="I140" s="210"/>
      <c r="J140" s="210"/>
      <c r="K140" s="191">
        <f>ROUND(U$10*(E39+(E46/3)),0)</f>
        <v>0</v>
      </c>
      <c r="L140" s="191">
        <f>IF($A$1&gt;1,ROUND(V$10*(F39+(F46/3)),0),0)</f>
        <v>0</v>
      </c>
      <c r="M140" s="191">
        <f>IF($A$1&gt;2,ROUND(W$10*(G39+(G46/3)),0),0)</f>
        <v>0</v>
      </c>
      <c r="N140" s="191">
        <f>IF($A$1&gt;3,ROUND(X$10*(H39+(H46/3)),0),0)</f>
        <v>0</v>
      </c>
      <c r="O140" s="191">
        <f>IF($A$1&gt;4,ROUND(Y$10*(I39+(I46/3)),0),0)</f>
        <v>0</v>
      </c>
      <c r="P140" s="189">
        <f>SUM(K140:O140)</f>
        <v>0</v>
      </c>
    </row>
    <row r="141" spans="1:20">
      <c r="A141" s="170"/>
      <c r="B141" s="210" t="s">
        <v>82</v>
      </c>
      <c r="C141" s="210"/>
      <c r="D141" s="210"/>
      <c r="E141" s="210"/>
      <c r="F141" s="210"/>
      <c r="G141" s="210"/>
      <c r="H141" s="210"/>
      <c r="I141" s="210"/>
      <c r="J141" s="210"/>
      <c r="K141" s="191">
        <f>ROUND(U$10*(E40+(E47/3)),0)</f>
        <v>0</v>
      </c>
      <c r="L141" s="191">
        <f>IF($A$1&gt;1,ROUND(V$10*(F40+(F47/3)),0),0)</f>
        <v>0</v>
      </c>
      <c r="M141" s="191">
        <f>IF($A$1&gt;2,ROUND(W$10*(G40+(G47/3)),0),0)</f>
        <v>0</v>
      </c>
      <c r="N141" s="191">
        <f>IF($A$1&gt;3,ROUND(X$10*(H40+(H47/3)),0),0)</f>
        <v>0</v>
      </c>
      <c r="O141" s="191">
        <f>IF($A$1&gt;4,ROUND(Y$10*(I40+(I47/3)),0),0)</f>
        <v>0</v>
      </c>
      <c r="P141" s="189">
        <f>SUM(K141:O141)</f>
        <v>0</v>
      </c>
    </row>
    <row r="142" spans="1:20" ht="13.5">
      <c r="A142" s="170"/>
      <c r="B142" s="210"/>
      <c r="C142" s="210"/>
      <c r="D142" s="210"/>
      <c r="E142" s="210"/>
      <c r="F142" s="210"/>
      <c r="G142" s="210"/>
      <c r="H142" s="210"/>
      <c r="I142" s="210"/>
      <c r="J142" s="253" t="s">
        <v>238</v>
      </c>
      <c r="K142" s="231">
        <f>SUM(K140:K141)</f>
        <v>0</v>
      </c>
      <c r="L142" s="231">
        <f>SUM(L140:L141)</f>
        <v>0</v>
      </c>
      <c r="M142" s="231">
        <f>SUM(M140:M141)</f>
        <v>0</v>
      </c>
      <c r="N142" s="231">
        <f>SUM(N140:N141)</f>
        <v>0</v>
      </c>
      <c r="O142" s="231">
        <f>SUM(O140:O141)</f>
        <v>0</v>
      </c>
      <c r="P142" s="233">
        <f>SUM(K142:O142)</f>
        <v>0</v>
      </c>
    </row>
    <row r="143" spans="1:20">
      <c r="A143" s="170"/>
      <c r="B143" s="210"/>
      <c r="C143" s="210"/>
      <c r="D143" s="210"/>
      <c r="E143" s="210"/>
      <c r="F143" s="210"/>
      <c r="G143" s="210"/>
      <c r="H143" s="210"/>
      <c r="I143" s="210"/>
      <c r="J143" s="210"/>
      <c r="K143" s="191"/>
      <c r="L143" s="191"/>
      <c r="M143" s="191"/>
      <c r="N143" s="191"/>
      <c r="O143" s="191"/>
      <c r="P143" s="189"/>
    </row>
    <row r="144" spans="1:20">
      <c r="A144" s="170"/>
      <c r="B144" s="210" t="s">
        <v>240</v>
      </c>
      <c r="C144" s="210"/>
      <c r="D144" s="210"/>
      <c r="E144" s="210"/>
      <c r="F144" s="210"/>
      <c r="G144" s="210"/>
      <c r="H144" s="210"/>
      <c r="I144" s="183"/>
      <c r="J144" s="183"/>
    </row>
    <row r="145" spans="1:18">
      <c r="A145" s="170"/>
      <c r="B145" s="210" t="s">
        <v>83</v>
      </c>
      <c r="C145" s="210"/>
      <c r="D145" s="210"/>
      <c r="E145" s="210"/>
      <c r="F145" s="210"/>
      <c r="G145" s="210"/>
      <c r="H145" s="210"/>
      <c r="I145" s="183"/>
      <c r="J145" s="183"/>
      <c r="K145" s="216">
        <v>0</v>
      </c>
      <c r="L145" s="216">
        <f>IF($A$1&gt;1,ROUND($K145*$U$15,0),0)</f>
        <v>0</v>
      </c>
      <c r="M145" s="216">
        <f>IF($A$1&gt;2,ROUND($K145*$U$15^2,0),0)</f>
        <v>0</v>
      </c>
      <c r="N145" s="216">
        <f>IF($A$1&gt;3,ROUND($K145*$U$15^3,0),0)</f>
        <v>0</v>
      </c>
      <c r="O145" s="216">
        <f>IF($A$1&gt;4,ROUND($K145*$U$15^4,0),0)</f>
        <v>0</v>
      </c>
      <c r="P145" s="217">
        <f>SUM(K145:O145)</f>
        <v>0</v>
      </c>
    </row>
    <row r="146" spans="1:18">
      <c r="A146" s="170"/>
      <c r="B146" s="210"/>
      <c r="C146" s="210"/>
      <c r="D146" s="210"/>
      <c r="E146" s="210"/>
      <c r="F146" s="210"/>
      <c r="G146" s="210"/>
      <c r="H146" s="210"/>
      <c r="I146" s="183"/>
      <c r="J146" s="183"/>
      <c r="K146" s="198"/>
      <c r="L146" s="198"/>
      <c r="M146" s="198"/>
      <c r="N146" s="198"/>
      <c r="O146" s="198"/>
      <c r="P146" s="189"/>
    </row>
    <row r="147" spans="1:18" ht="13.5">
      <c r="A147" s="170"/>
      <c r="C147" s="229"/>
      <c r="D147" s="229"/>
      <c r="E147" s="229"/>
      <c r="F147" s="229"/>
      <c r="G147" s="229"/>
      <c r="H147" s="229"/>
      <c r="I147" s="253"/>
      <c r="J147" s="253" t="s">
        <v>126</v>
      </c>
      <c r="K147" s="231">
        <f>K142+K145</f>
        <v>0</v>
      </c>
      <c r="L147" s="231">
        <f>L142+L145</f>
        <v>0</v>
      </c>
      <c r="M147" s="231">
        <f>M142+M145</f>
        <v>0</v>
      </c>
      <c r="N147" s="231">
        <f>N142+N145</f>
        <v>0</v>
      </c>
      <c r="O147" s="231">
        <f>O142+O145</f>
        <v>0</v>
      </c>
      <c r="P147" s="233">
        <f>SUM(K147:O147)</f>
        <v>0</v>
      </c>
    </row>
    <row r="148" spans="1:18">
      <c r="A148" s="170"/>
      <c r="B148" s="229"/>
      <c r="C148" s="229"/>
      <c r="D148" s="229"/>
      <c r="E148" s="229"/>
      <c r="F148" s="229"/>
      <c r="G148" s="229"/>
      <c r="H148" s="229"/>
      <c r="I148" s="192"/>
      <c r="J148" s="192"/>
      <c r="K148" s="344"/>
      <c r="L148" s="344"/>
      <c r="M148" s="344"/>
      <c r="N148" s="344"/>
      <c r="O148" s="344"/>
      <c r="P148" s="234"/>
    </row>
    <row r="149" spans="1:18">
      <c r="A149" s="170"/>
      <c r="B149" s="210" t="s">
        <v>241</v>
      </c>
      <c r="C149" s="229"/>
      <c r="D149" s="229"/>
      <c r="E149" s="229"/>
      <c r="F149" s="229"/>
      <c r="G149" s="229"/>
      <c r="H149" s="229"/>
      <c r="I149" s="192"/>
      <c r="J149" s="192"/>
      <c r="K149" s="222"/>
      <c r="L149" s="222"/>
      <c r="M149" s="222"/>
      <c r="N149" s="222"/>
      <c r="O149" s="222"/>
      <c r="P149" s="234"/>
    </row>
    <row r="150" spans="1:18">
      <c r="A150" s="170"/>
      <c r="B150" s="345" t="s">
        <v>21</v>
      </c>
      <c r="C150" s="183"/>
      <c r="D150" s="183"/>
      <c r="E150" s="183"/>
      <c r="F150" s="183"/>
      <c r="G150" s="183"/>
      <c r="H150" s="183"/>
      <c r="I150" s="183"/>
      <c r="J150" s="183"/>
      <c r="K150" s="191">
        <v>0</v>
      </c>
      <c r="L150" s="191">
        <f>IF($A$1&gt;1,ROUND($K150*$U$15,0),0)</f>
        <v>0</v>
      </c>
      <c r="M150" s="191">
        <f>IF($A$1&gt;2,ROUND($K150*$U$15^2,0),0)</f>
        <v>0</v>
      </c>
      <c r="N150" s="191">
        <f>IF($A$1&gt;3,ROUND($K150*$U$15^3,0),0)</f>
        <v>0</v>
      </c>
      <c r="O150" s="191">
        <f>IF($A$1&gt;4,ROUND($K150*$U$15^4,0),0)</f>
        <v>0</v>
      </c>
      <c r="P150" s="189">
        <f>SUM(K150:O150)</f>
        <v>0</v>
      </c>
    </row>
    <row r="151" spans="1:18">
      <c r="A151" s="174"/>
      <c r="B151" s="345" t="s">
        <v>21</v>
      </c>
      <c r="C151" s="183"/>
      <c r="D151" s="183"/>
      <c r="E151" s="183"/>
      <c r="F151" s="183"/>
      <c r="G151" s="183"/>
      <c r="H151" s="183"/>
      <c r="I151" s="183"/>
      <c r="J151" s="183"/>
      <c r="K151" s="191">
        <v>0</v>
      </c>
      <c r="L151" s="191">
        <f>IF($A$1&gt;1,ROUND($K151*$U$15,0),0)</f>
        <v>0</v>
      </c>
      <c r="M151" s="191">
        <f>IF($A$1&gt;2,ROUND($K151*$U$15^2,0),0)</f>
        <v>0</v>
      </c>
      <c r="N151" s="191">
        <f>IF($A$1&gt;3,ROUND($K151*$U$15^3,0),0)</f>
        <v>0</v>
      </c>
      <c r="O151" s="191">
        <f>IF($A$1&gt;4,ROUND($K151*$U$15^4,0),0)</f>
        <v>0</v>
      </c>
      <c r="P151" s="189">
        <f>SUM(K151:O151)</f>
        <v>0</v>
      </c>
    </row>
    <row r="152" spans="1:18" ht="15">
      <c r="A152" s="170"/>
      <c r="B152" s="218"/>
      <c r="C152" s="218"/>
      <c r="D152" s="218"/>
      <c r="E152" s="218"/>
      <c r="F152" s="218"/>
      <c r="G152" s="218"/>
      <c r="H152" s="255"/>
      <c r="I152" s="230"/>
      <c r="J152" s="350" t="s">
        <v>7</v>
      </c>
      <c r="K152" s="231">
        <f>SUM(K150:K151)</f>
        <v>0</v>
      </c>
      <c r="L152" s="231">
        <f>SUM(L150:L151)</f>
        <v>0</v>
      </c>
      <c r="M152" s="231">
        <f>SUM(M150:M151)</f>
        <v>0</v>
      </c>
      <c r="N152" s="231">
        <f>SUM(N150:N151)</f>
        <v>0</v>
      </c>
      <c r="O152" s="231">
        <f>SUM(O150:O151)</f>
        <v>0</v>
      </c>
      <c r="P152" s="233">
        <f>SUM(K152:O152)</f>
        <v>0</v>
      </c>
    </row>
    <row r="153" spans="1:18" ht="13.5">
      <c r="A153" s="170"/>
      <c r="B153" s="218"/>
      <c r="C153" s="218"/>
      <c r="D153" s="218"/>
      <c r="E153" s="218"/>
      <c r="F153" s="218"/>
      <c r="G153" s="218"/>
      <c r="H153" s="255"/>
      <c r="I153" s="230"/>
      <c r="J153" s="230"/>
      <c r="K153" s="344"/>
      <c r="L153" s="344"/>
      <c r="M153" s="344"/>
      <c r="N153" s="344"/>
      <c r="O153" s="344"/>
      <c r="P153" s="234"/>
    </row>
    <row r="154" spans="1:18" ht="15">
      <c r="A154" s="170"/>
      <c r="B154" s="218"/>
      <c r="C154" s="218"/>
      <c r="D154" s="218"/>
      <c r="E154" s="218"/>
      <c r="F154" s="218"/>
      <c r="G154" s="218"/>
      <c r="H154" s="349"/>
      <c r="I154" s="350"/>
      <c r="J154" s="350" t="s">
        <v>242</v>
      </c>
      <c r="K154" s="207">
        <f>K152+K145+K142+K137+K122+K118+K113+K109</f>
        <v>0</v>
      </c>
      <c r="L154" s="207">
        <f>L152+L145+L142+L137+L122+L118+L113+L109</f>
        <v>0</v>
      </c>
      <c r="M154" s="207">
        <f>M152+M145+M142+M137+M122+M118+M113+M109</f>
        <v>0</v>
      </c>
      <c r="N154" s="207">
        <f>N152+N145+N142+N137+N122+N118+N113+N109</f>
        <v>0</v>
      </c>
      <c r="O154" s="207">
        <f>O152+O145+O142+O137+O122+O118+O113+O109</f>
        <v>0</v>
      </c>
      <c r="P154" s="208">
        <f>SUM(K154:O154)</f>
        <v>0</v>
      </c>
    </row>
    <row r="155" spans="1:18" ht="15">
      <c r="A155" s="170"/>
      <c r="B155" s="218"/>
      <c r="C155" s="218"/>
      <c r="D155" s="218"/>
      <c r="E155" s="218"/>
      <c r="F155" s="218"/>
      <c r="G155" s="218"/>
      <c r="H155" s="349"/>
      <c r="I155" s="350"/>
      <c r="J155" s="350"/>
      <c r="K155" s="344"/>
      <c r="L155" s="344"/>
      <c r="M155" s="344"/>
      <c r="N155" s="344"/>
      <c r="O155" s="344"/>
      <c r="P155" s="234"/>
    </row>
    <row r="156" spans="1:18">
      <c r="A156" s="170"/>
      <c r="B156" s="220"/>
      <c r="C156" s="220"/>
      <c r="D156" s="220"/>
      <c r="E156" s="220"/>
      <c r="F156" s="220"/>
      <c r="G156" s="220"/>
      <c r="H156" s="220"/>
      <c r="I156" s="183"/>
      <c r="J156" s="183"/>
      <c r="K156" s="191"/>
      <c r="L156" s="222"/>
      <c r="M156" s="222"/>
      <c r="N156" s="222"/>
      <c r="O156" s="222"/>
      <c r="P156" s="234"/>
    </row>
    <row r="157" spans="1:18">
      <c r="A157" s="170"/>
      <c r="B157" s="192" t="s">
        <v>76</v>
      </c>
      <c r="C157" s="192"/>
      <c r="D157" s="183"/>
      <c r="E157" s="183"/>
      <c r="F157" s="183"/>
      <c r="G157" s="183"/>
      <c r="H157" s="183"/>
      <c r="I157" s="183"/>
      <c r="J157" s="183"/>
      <c r="K157" s="207">
        <f>K154+K100+K92+K85+K79</f>
        <v>0</v>
      </c>
      <c r="L157" s="207">
        <f>L154+L100+L92+L85+L79</f>
        <v>0</v>
      </c>
      <c r="M157" s="207">
        <f>M154+M100+M92+M85+M79</f>
        <v>0</v>
      </c>
      <c r="N157" s="207">
        <f>N154+N100+N92+N85+N79</f>
        <v>0</v>
      </c>
      <c r="O157" s="207">
        <f>O154+O100+O92+O85+O79</f>
        <v>0</v>
      </c>
      <c r="P157" s="208">
        <f>SUM(K157:O157)</f>
        <v>0</v>
      </c>
    </row>
    <row r="158" spans="1:18">
      <c r="A158" s="170"/>
      <c r="B158" s="170"/>
      <c r="C158" s="170"/>
      <c r="D158" s="170"/>
      <c r="E158" s="170"/>
      <c r="F158" s="170"/>
      <c r="G158" s="170"/>
      <c r="H158" s="170"/>
      <c r="I158" s="170"/>
      <c r="J158" s="170"/>
      <c r="K158" s="170"/>
      <c r="L158" s="170"/>
      <c r="M158" s="170"/>
      <c r="N158" s="170"/>
      <c r="O158" s="170"/>
      <c r="P158" s="178"/>
    </row>
    <row r="159" spans="1:18">
      <c r="A159" s="170"/>
      <c r="B159" s="229" t="s">
        <v>88</v>
      </c>
      <c r="C159" s="220"/>
      <c r="D159" s="183"/>
      <c r="E159" s="183"/>
      <c r="F159" s="183"/>
      <c r="G159" s="183"/>
      <c r="H159" s="183"/>
      <c r="I159" s="170"/>
      <c r="J159" s="170"/>
      <c r="K159" s="256">
        <f>K157-K147-K135-K100-K85</f>
        <v>0</v>
      </c>
      <c r="L159" s="256">
        <f>L157-L147-L135-L100-L85</f>
        <v>0</v>
      </c>
      <c r="M159" s="256">
        <f>M157-M147-M135-M100-M85</f>
        <v>0</v>
      </c>
      <c r="N159" s="256">
        <f>N157-N147-N135-N100-N85</f>
        <v>0</v>
      </c>
      <c r="O159" s="256">
        <f>O157-O147-O135-O100-O85</f>
        <v>0</v>
      </c>
      <c r="P159" s="257">
        <f>SUM(K159:O159)</f>
        <v>0</v>
      </c>
      <c r="R159" s="1" t="s">
        <v>27</v>
      </c>
    </row>
    <row r="160" spans="1:18">
      <c r="A160" s="170"/>
      <c r="B160" s="220"/>
      <c r="C160" s="220"/>
      <c r="D160" s="182" t="s">
        <v>89</v>
      </c>
      <c r="E160" s="183"/>
      <c r="F160" s="183"/>
      <c r="G160" s="183"/>
      <c r="H160" s="183"/>
      <c r="I160" s="170"/>
      <c r="J160" s="170"/>
      <c r="K160" s="256"/>
      <c r="L160" s="256"/>
      <c r="M160" s="256"/>
      <c r="N160" s="256"/>
      <c r="O160" s="256"/>
      <c r="P160" s="257"/>
    </row>
    <row r="161" spans="1:17">
      <c r="A161" s="170"/>
      <c r="B161" s="258" t="s">
        <v>145</v>
      </c>
      <c r="C161" s="259"/>
      <c r="D161" s="417" t="s">
        <v>143</v>
      </c>
      <c r="E161" s="417"/>
      <c r="F161" s="417"/>
      <c r="G161" s="260"/>
      <c r="H161" s="260"/>
      <c r="I161" s="261"/>
      <c r="J161" s="261"/>
      <c r="K161" s="278">
        <f>IF(D161=AG5,0,IF(K163&gt;0,0,VLOOKUP(K5,'F&amp;A History'!$C:$K,VLOOKUP(D161,$AG$5:$AH$11,2,FALSE),TRUE)/100))</f>
        <v>0</v>
      </c>
      <c r="L161" s="278">
        <f>IF($A$1&gt;1,IF(D161=AG5,0,IF(K163&gt;0,0,VLOOKUP(L5,'F&amp;A History'!$C:$K,VLOOKUP(D161,$AG$5:$AH$11,2,FALSE),TRUE)/100)),"")</f>
        <v>0</v>
      </c>
      <c r="M161" s="278">
        <f>IF($A$1&gt;2,IF(D161=AG5,0,IF(K163&gt;0,0,VLOOKUP(M5,'F&amp;A History'!$C:$K,VLOOKUP(D161,$AG$5:$AH$11,2,FALSE),TRUE)/100)),"")</f>
        <v>0</v>
      </c>
      <c r="N161" s="278">
        <f>IF($A$1&gt;3,IF(D161=AG5,0,IF(K163&gt;0,0,VLOOKUP(N5,'F&amp;A History'!$C:$K,VLOOKUP(D161,$AG$5:$AH$11,2,FALSE),TRUE)/100)),"")</f>
        <v>0</v>
      </c>
      <c r="O161" s="278">
        <f>IF($A$1&gt;4,IF(D161=AG5,0,IF(K163&gt;0,0,VLOOKUP(O5,'F&amp;A History'!$C:$K,VLOOKUP(D161,$AG$5:$AH$11,2,FALSE),TRUE)/100)),"")</f>
        <v>0</v>
      </c>
      <c r="P161" s="262"/>
    </row>
    <row r="162" spans="1:17">
      <c r="A162" s="170"/>
      <c r="B162" s="183"/>
      <c r="C162" s="183"/>
      <c r="D162" s="183"/>
      <c r="E162" s="183"/>
      <c r="F162" s="183"/>
      <c r="G162" s="183"/>
      <c r="H162" s="183"/>
      <c r="I162" s="170"/>
      <c r="J162" s="170"/>
      <c r="K162" s="263"/>
      <c r="L162" s="264"/>
      <c r="M162" s="264"/>
      <c r="N162" s="264"/>
      <c r="O162" s="264"/>
      <c r="P162" s="265"/>
    </row>
    <row r="163" spans="1:17">
      <c r="A163" s="170"/>
      <c r="B163" s="340" t="s">
        <v>147</v>
      </c>
      <c r="C163" s="266"/>
      <c r="D163" s="267"/>
      <c r="E163" s="267"/>
      <c r="F163" s="267"/>
      <c r="G163" s="267"/>
      <c r="H163" s="267"/>
      <c r="I163" s="268"/>
      <c r="J163" s="268"/>
      <c r="K163" s="269"/>
      <c r="L163" s="269"/>
      <c r="M163" s="269"/>
      <c r="N163" s="269"/>
      <c r="O163" s="269"/>
      <c r="P163" s="270"/>
      <c r="Q163" s="293"/>
    </row>
    <row r="164" spans="1:17">
      <c r="A164" s="170"/>
      <c r="B164" s="229"/>
      <c r="C164" s="220"/>
      <c r="D164" s="183"/>
      <c r="E164" s="183"/>
      <c r="F164" s="183"/>
      <c r="G164" s="183"/>
      <c r="H164" s="183"/>
      <c r="I164" s="29"/>
      <c r="J164" s="29"/>
      <c r="K164" s="256"/>
      <c r="L164" s="256"/>
      <c r="M164" s="256"/>
      <c r="N164" s="256"/>
      <c r="O164" s="256"/>
      <c r="P164" s="257"/>
    </row>
    <row r="165" spans="1:17">
      <c r="A165" s="170"/>
      <c r="B165" s="229" t="s">
        <v>146</v>
      </c>
      <c r="C165" s="220"/>
      <c r="D165" s="183"/>
      <c r="E165" s="183"/>
      <c r="F165" s="183"/>
      <c r="G165" s="183"/>
      <c r="H165" s="183"/>
      <c r="I165" s="29"/>
      <c r="J165" s="29"/>
      <c r="K165" s="271">
        <f>ROUND(IF(ISBLANK(K163),K159*K161,K163*K157),0)</f>
        <v>0</v>
      </c>
      <c r="L165" s="271">
        <f>IF($A$1&gt;1,ROUND(IF(ISBLANK(L163),L159*L161,L163*L157),0),0)</f>
        <v>0</v>
      </c>
      <c r="M165" s="271">
        <f>IF($A$1&gt;2,ROUND(IF(ISBLANK(M163),M159*M161,M163*M157),0),0)</f>
        <v>0</v>
      </c>
      <c r="N165" s="271">
        <f>IF($A$1&gt;3,ROUND(IF(ISBLANK(N163),N159*N161,N163*N157),0),0)</f>
        <v>0</v>
      </c>
      <c r="O165" s="271">
        <f>IF($A$1&gt;4,ROUND(IF(ISBLANK(O163),O159*O161,O163*O157),0),0)</f>
        <v>0</v>
      </c>
      <c r="P165" s="272">
        <f>SUM(K165:O165)</f>
        <v>0</v>
      </c>
      <c r="Q165" s="87"/>
    </row>
    <row r="166" spans="1:17">
      <c r="A166" s="170"/>
      <c r="B166" s="229"/>
      <c r="C166" s="220"/>
      <c r="D166" s="183"/>
      <c r="E166" s="183"/>
      <c r="F166" s="183"/>
      <c r="G166" s="183"/>
      <c r="H166" s="183"/>
      <c r="I166" s="29"/>
      <c r="J166" s="29"/>
      <c r="K166" s="256"/>
      <c r="L166" s="256"/>
      <c r="M166" s="256"/>
      <c r="N166" s="256"/>
      <c r="O166" s="256"/>
      <c r="P166" s="257"/>
      <c r="Q166" s="19" t="s">
        <v>27</v>
      </c>
    </row>
    <row r="167" spans="1:17" ht="13.5" thickBot="1">
      <c r="A167" s="170"/>
      <c r="B167" s="192" t="s">
        <v>90</v>
      </c>
      <c r="C167" s="192"/>
      <c r="D167" s="192"/>
      <c r="E167" s="192"/>
      <c r="F167" s="192"/>
      <c r="G167" s="192"/>
      <c r="H167" s="192"/>
      <c r="I167" s="170"/>
      <c r="J167" s="170"/>
      <c r="K167" s="273" t="str">
        <f>IF(NOT(ISBLANK(K163)),K157+K165,IF($D$161=$AG$5,"F&amp;A?",SUM(K157+K165)))</f>
        <v>F&amp;A?</v>
      </c>
      <c r="L167" s="273" t="str">
        <f>IF(NOT(ISBLANK(L163)),L157+L165,IF($D$161=$AG$5,"F&amp;A?",SUM(L157+L165)))</f>
        <v>F&amp;A?</v>
      </c>
      <c r="M167" s="273" t="str">
        <f>IF(NOT(ISBLANK(M163)),M157+M165,IF($D$161=$AG$5,"F&amp;A?",SUM(M157+M165)))</f>
        <v>F&amp;A?</v>
      </c>
      <c r="N167" s="273" t="str">
        <f>IF(NOT(ISBLANK(N163)),N157+N165,IF($D$161=$AG$5,"F&amp;A?",SUM(N157+N165)))</f>
        <v>F&amp;A?</v>
      </c>
      <c r="O167" s="273" t="str">
        <f>IF(NOT(ISBLANK(O163)),O157+O165,IF($D$161=$AG$5,"F&amp;A?",SUM(O157+O165)))</f>
        <v>F&amp;A?</v>
      </c>
      <c r="P167" s="274">
        <f>SUM(K167:O167)</f>
        <v>0</v>
      </c>
    </row>
    <row r="168" spans="1:17" ht="13.5" thickTop="1">
      <c r="A168" s="170"/>
      <c r="B168" s="235"/>
      <c r="C168" s="220"/>
      <c r="D168" s="275"/>
      <c r="E168" s="275"/>
      <c r="F168" s="275"/>
      <c r="G168" s="275"/>
      <c r="H168" s="275"/>
      <c r="I168" s="275"/>
      <c r="J168" s="275"/>
      <c r="K168" s="276"/>
      <c r="L168" s="276"/>
      <c r="M168" s="276"/>
      <c r="N168" s="276"/>
      <c r="O168" s="276"/>
      <c r="P168" s="277"/>
    </row>
    <row r="169" spans="1:17">
      <c r="B169" s="7"/>
      <c r="C169" s="7"/>
      <c r="D169" s="146"/>
      <c r="E169" s="146"/>
      <c r="F169" s="146"/>
      <c r="G169" s="146"/>
      <c r="H169" s="146"/>
      <c r="I169" s="146"/>
      <c r="J169" s="146"/>
      <c r="K169" s="146"/>
      <c r="L169" s="146"/>
      <c r="M169" s="146"/>
      <c r="N169" s="146"/>
      <c r="O169" s="146"/>
      <c r="P169" s="292"/>
    </row>
    <row r="170" spans="1:17">
      <c r="B170" s="92"/>
      <c r="C170" s="92"/>
      <c r="D170" s="147"/>
      <c r="E170" s="147"/>
      <c r="F170" s="147"/>
      <c r="G170" s="147"/>
      <c r="H170" s="148"/>
      <c r="I170" s="149"/>
      <c r="J170" s="149"/>
      <c r="K170" s="150"/>
      <c r="L170" s="151"/>
      <c r="M170" s="151"/>
      <c r="N170" s="151"/>
      <c r="O170" s="151"/>
      <c r="P170" s="292"/>
    </row>
    <row r="171" spans="1:17">
      <c r="B171" s="287" t="s">
        <v>79</v>
      </c>
      <c r="C171" s="284">
        <f>U14-1</f>
        <v>3.0000000000000027E-2</v>
      </c>
      <c r="D171" s="143"/>
      <c r="E171" s="143"/>
      <c r="F171" s="143"/>
      <c r="G171" s="143"/>
      <c r="H171" s="143"/>
      <c r="I171" s="143"/>
      <c r="J171" s="143"/>
      <c r="K171" s="144"/>
      <c r="L171" s="9"/>
      <c r="M171" s="9"/>
      <c r="N171" s="9"/>
      <c r="O171" s="93"/>
      <c r="P171" s="292"/>
    </row>
    <row r="172" spans="1:17">
      <c r="B172" s="2" t="s">
        <v>172</v>
      </c>
      <c r="C172" s="283">
        <f>U13-1</f>
        <v>4.0000000000000036E-2</v>
      </c>
      <c r="D172" s="92"/>
      <c r="E172" s="92"/>
      <c r="F172" s="92"/>
      <c r="G172" s="92"/>
      <c r="H172" s="92"/>
      <c r="I172" s="92"/>
      <c r="J172" s="92"/>
      <c r="K172" s="135"/>
      <c r="L172" s="9"/>
      <c r="M172" s="9"/>
      <c r="N172" s="9"/>
      <c r="O172" s="93"/>
    </row>
    <row r="173" spans="1:17">
      <c r="B173" s="136" t="s">
        <v>134</v>
      </c>
      <c r="C173" s="283">
        <f>U15-1</f>
        <v>3.6999999999999922E-2</v>
      </c>
      <c r="D173" s="92"/>
      <c r="E173" s="92"/>
      <c r="F173" s="92"/>
      <c r="G173" s="92"/>
      <c r="H173" s="92"/>
      <c r="I173" s="92"/>
      <c r="J173" s="92"/>
      <c r="K173" s="135"/>
    </row>
    <row r="174" spans="1:17" ht="13.5">
      <c r="B174" s="140" t="s">
        <v>184</v>
      </c>
      <c r="C174" s="284"/>
      <c r="D174" s="143"/>
      <c r="E174" s="143"/>
      <c r="F174" s="143"/>
      <c r="G174" s="143"/>
      <c r="H174" s="143"/>
      <c r="I174" s="143"/>
      <c r="J174" s="143"/>
      <c r="K174" s="144"/>
    </row>
    <row r="175" spans="1:17">
      <c r="B175" s="2" t="s">
        <v>85</v>
      </c>
      <c r="C175" s="283">
        <f>IF($R$8="Y",AF10-1,0)</f>
        <v>2.6999999999999913E-2</v>
      </c>
      <c r="K175" s="134"/>
    </row>
    <row r="176" spans="1:17">
      <c r="B176" s="2" t="s">
        <v>84</v>
      </c>
      <c r="C176" s="283">
        <f>IF($R$8="Y",AF11-1,0)</f>
        <v>2.6999999999999913E-2</v>
      </c>
      <c r="K176" s="134"/>
    </row>
    <row r="177" spans="2:15">
      <c r="B177" s="137" t="s">
        <v>135</v>
      </c>
      <c r="C177" s="285">
        <f>IF($R$8="Y",AF12-1,0)</f>
        <v>2.6999999999999913E-2</v>
      </c>
      <c r="D177" s="138"/>
      <c r="E177" s="138"/>
      <c r="F177" s="138"/>
      <c r="G177" s="138"/>
      <c r="H177" s="138"/>
      <c r="I177" s="138"/>
      <c r="J177" s="138"/>
      <c r="K177" s="139"/>
      <c r="O177" s="1" t="s">
        <v>27</v>
      </c>
    </row>
    <row r="178" spans="2:15" ht="13.5">
      <c r="B178" s="294" t="s">
        <v>181</v>
      </c>
      <c r="C178" s="283">
        <f>IF($R$8="Y",AF6-1,0)</f>
        <v>2.9400000000000093E-2</v>
      </c>
      <c r="K178" s="134"/>
    </row>
    <row r="179" spans="2:15" ht="13.5">
      <c r="B179" s="294" t="s">
        <v>182</v>
      </c>
      <c r="C179" s="283">
        <f>IF($R$8="Y",AF7-1,0)</f>
        <v>2.9800000000000049E-2</v>
      </c>
      <c r="K179" s="134"/>
    </row>
    <row r="180" spans="2:15" ht="13.5">
      <c r="B180" s="294" t="s">
        <v>183</v>
      </c>
      <c r="C180" s="283">
        <f>IF($R$8="Y",AF8-1,0)</f>
        <v>5.2000000000000046E-2</v>
      </c>
      <c r="K180" s="134"/>
    </row>
    <row r="181" spans="2:15">
      <c r="B181" s="141" t="s">
        <v>120</v>
      </c>
      <c r="C181" s="142"/>
      <c r="D181" s="143"/>
      <c r="E181" s="143"/>
      <c r="F181" s="143"/>
      <c r="G181" s="143"/>
      <c r="H181" s="143"/>
      <c r="I181" s="143"/>
      <c r="J181" s="143"/>
      <c r="K181" s="144"/>
    </row>
    <row r="182" spans="2:15">
      <c r="B182" s="2" t="s">
        <v>121</v>
      </c>
      <c r="K182" s="134"/>
    </row>
    <row r="183" spans="2:15">
      <c r="B183" s="2" t="s">
        <v>246</v>
      </c>
      <c r="K183" s="134"/>
    </row>
    <row r="184" spans="2:15">
      <c r="B184" s="2" t="s">
        <v>122</v>
      </c>
      <c r="K184" s="134"/>
    </row>
    <row r="185" spans="2:15">
      <c r="B185" s="2" t="s">
        <v>123</v>
      </c>
      <c r="K185" s="134"/>
    </row>
    <row r="186" spans="2:15">
      <c r="B186" s="2" t="s">
        <v>247</v>
      </c>
      <c r="K186" s="134"/>
    </row>
    <row r="187" spans="2:15">
      <c r="B187" s="2" t="s">
        <v>124</v>
      </c>
      <c r="K187" s="134"/>
    </row>
    <row r="188" spans="2:15">
      <c r="B188" s="137"/>
      <c r="C188" s="138"/>
      <c r="D188" s="138"/>
      <c r="E188" s="138"/>
      <c r="F188" s="138"/>
      <c r="G188" s="138"/>
      <c r="H188" s="138"/>
      <c r="I188" s="138"/>
      <c r="J188" s="138"/>
      <c r="K188" s="139"/>
    </row>
    <row r="190" spans="2:15">
      <c r="M190" s="1" t="s">
        <v>27</v>
      </c>
    </row>
  </sheetData>
  <mergeCells count="1">
    <mergeCell ref="D161:F161"/>
  </mergeCells>
  <conditionalFormatting sqref="B2">
    <cfRule type="cellIs" dxfId="3" priority="3" stopIfTrue="1" operator="greaterThan">
      <formula>""""""</formula>
    </cfRule>
  </conditionalFormatting>
  <conditionalFormatting sqref="C12:C22">
    <cfRule type="expression" dxfId="2" priority="1" stopIfTrue="1">
      <formula>$B12=""</formula>
    </cfRule>
  </conditionalFormatting>
  <conditionalFormatting sqref="D161">
    <cfRule type="expression" dxfId="1" priority="4" stopIfTrue="1">
      <formula>NOT(ISNONTEXT(#REF!))</formula>
    </cfRule>
    <cfRule type="expression" dxfId="0" priority="5" stopIfTrue="1">
      <formula>ISNONTEXT(#REF!)</formula>
    </cfRule>
  </conditionalFormatting>
  <dataValidations count="3">
    <dataValidation type="list" showInputMessage="1" showErrorMessage="1" sqref="B47 B40" xr:uid="{4B460DA9-286D-43E4-8ADA-B85FC1B2241B}">
      <formula1>"GTF I or II,GTF III"</formula1>
    </dataValidation>
    <dataValidation type="list" allowBlank="1" showInputMessage="1" showErrorMessage="1" sqref="D161:F161" xr:uid="{A351EC7B-5E68-4954-9319-6B70A64575D3}">
      <formula1>$AG$5:$AG$11</formula1>
    </dataValidation>
    <dataValidation type="list" showInputMessage="1" showErrorMessage="1" sqref="C12:C22" xr:uid="{85FB9868-2787-4881-AEDE-AB97D4782717}">
      <formula1>$AJ$5:$AJ$13</formula1>
    </dataValidation>
  </dataValidations>
  <printOptions horizontalCentered="1" gridLines="1" gridLinesSet="0"/>
  <pageMargins left="0.5" right="0.5" top="1" bottom="1" header="0.5" footer="0.5"/>
  <pageSetup scale="49" fitToHeight="4" orientation="portrait" horizontalDpi="4294967292" r:id="rId1"/>
  <headerFooter alignWithMargins="0">
    <oddFooter>Page &amp;p</oddFooter>
  </headerFooter>
  <rowBreaks count="1" manualBreakCount="1">
    <brk id="83" max="14" man="1"/>
  </rowBreaks>
  <ignoredErrors>
    <ignoredError sqref="N12 P83:P84 K85:P87 L5:O6 B52:B62 K94:P95 B2 B4 K156:P156 K77:P79 K89:P89 L88:P88 K13:O22 K25:P31 L32:P33 K37:P38 K44:P45 P76 I72 P73:P74 K48:P48 K100:P100 L96:P99 K149:P149 K52:P62 K72:O76 B66:B71 K66:P71 K165:P167 P15:P22 P12:P13 M140:P140 L150:P151 P152 K158:P158 P157 K160:P160 P159 L83:O84 K91:P92 L90:P90 L152:O152 K147:P147 L145:P145 L105:P109 K109 L112:P113 K113 L116:P117 K118:P118 K122:P123 L121:P121 P125:P133 P136:P137 P134:P135 K134:O135 K137:O137 K142:P142 L141:P141" unlockedFormula="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12680-E430-4834-9D82-9991E5922654}">
  <sheetPr>
    <tabColor rgb="FF66FFFF"/>
  </sheetPr>
  <dimension ref="A1:Q34"/>
  <sheetViews>
    <sheetView workbookViewId="0"/>
  </sheetViews>
  <sheetFormatPr defaultColWidth="9.140625" defaultRowHeight="12.75"/>
  <cols>
    <col min="1" max="1" width="11.42578125" style="29" customWidth="1"/>
    <col min="2" max="8" width="9.140625" style="29"/>
    <col min="9" max="9" width="6.42578125" style="29" customWidth="1"/>
    <col min="10" max="12" width="9.140625" style="29"/>
    <col min="13" max="13" width="28.42578125" style="29" customWidth="1"/>
    <col min="14" max="16384" width="9.140625" style="29"/>
  </cols>
  <sheetData>
    <row r="1" spans="1:17">
      <c r="A1" s="23"/>
      <c r="B1" s="24"/>
      <c r="C1" s="24"/>
      <c r="D1" s="25" t="s">
        <v>56</v>
      </c>
      <c r="E1" s="24"/>
      <c r="F1" s="24"/>
      <c r="G1" s="24"/>
      <c r="H1" s="26"/>
      <c r="I1" s="27"/>
      <c r="J1" s="27"/>
      <c r="K1" s="27"/>
      <c r="L1" s="27"/>
      <c r="M1" s="27"/>
      <c r="N1" s="27"/>
      <c r="O1" s="27"/>
      <c r="P1" s="27"/>
      <c r="Q1" s="28"/>
    </row>
    <row r="2" spans="1:17">
      <c r="A2" s="30"/>
      <c r="B2" s="31"/>
      <c r="C2"/>
      <c r="D2" s="31"/>
      <c r="E2" s="32"/>
      <c r="F2" s="31"/>
      <c r="G2" s="33"/>
      <c r="H2" s="34"/>
      <c r="Q2" s="28"/>
    </row>
    <row r="3" spans="1:17">
      <c r="A3" s="35" t="s">
        <v>57</v>
      </c>
      <c r="B3" s="36"/>
      <c r="C3" s="36"/>
      <c r="D3" s="36"/>
      <c r="E3" s="36"/>
      <c r="F3" s="36"/>
      <c r="G3" s="36"/>
      <c r="H3" s="37"/>
    </row>
    <row r="4" spans="1:17">
      <c r="A4" s="35" t="s">
        <v>58</v>
      </c>
      <c r="B4"/>
      <c r="C4"/>
      <c r="D4"/>
      <c r="E4"/>
      <c r="F4"/>
      <c r="G4"/>
      <c r="H4" s="38"/>
    </row>
    <row r="5" spans="1:17">
      <c r="A5" s="30"/>
      <c r="B5" s="32"/>
      <c r="C5" s="32"/>
      <c r="D5" s="32"/>
      <c r="E5" s="32"/>
      <c r="F5" s="32"/>
      <c r="G5" s="32"/>
      <c r="H5" s="34"/>
    </row>
    <row r="6" spans="1:17">
      <c r="A6" s="39" t="s">
        <v>59</v>
      </c>
      <c r="B6" s="40"/>
      <c r="C6" s="40"/>
      <c r="D6" s="40" t="s">
        <v>60</v>
      </c>
      <c r="E6" s="40"/>
      <c r="F6" s="41"/>
      <c r="G6" s="40" t="s">
        <v>61</v>
      </c>
      <c r="H6" s="42"/>
      <c r="I6" s="43"/>
    </row>
    <row r="7" spans="1:17">
      <c r="A7" s="44" t="s">
        <v>62</v>
      </c>
      <c r="B7" s="45"/>
      <c r="C7" s="40"/>
      <c r="D7" s="45" t="s">
        <v>63</v>
      </c>
      <c r="E7" s="45"/>
      <c r="F7" s="46"/>
      <c r="G7" s="45" t="s">
        <v>64</v>
      </c>
      <c r="H7" s="47"/>
      <c r="I7" s="27"/>
      <c r="J7" s="27"/>
      <c r="K7" s="27"/>
      <c r="L7" s="27"/>
      <c r="M7" s="27"/>
      <c r="N7" s="27"/>
      <c r="O7" s="27"/>
      <c r="P7" s="27"/>
      <c r="Q7" s="28"/>
    </row>
    <row r="8" spans="1:17">
      <c r="A8" s="46"/>
      <c r="B8" s="46"/>
      <c r="C8" s="46"/>
      <c r="D8" s="46"/>
      <c r="E8" s="46"/>
      <c r="F8" s="46"/>
      <c r="G8" s="46"/>
      <c r="H8" s="48"/>
      <c r="I8" s="27"/>
      <c r="J8" s="49" t="s">
        <v>65</v>
      </c>
      <c r="K8" s="49" t="s">
        <v>66</v>
      </c>
      <c r="L8" s="49" t="s">
        <v>67</v>
      </c>
      <c r="M8" s="36"/>
      <c r="N8" s="27"/>
      <c r="O8" s="27"/>
      <c r="P8" s="27"/>
      <c r="Q8" s="28"/>
    </row>
    <row r="9" spans="1:17">
      <c r="A9" s="50" t="s">
        <v>68</v>
      </c>
      <c r="B9" s="51" t="s">
        <v>69</v>
      </c>
      <c r="C9" s="51"/>
      <c r="D9" s="50" t="s">
        <v>68</v>
      </c>
      <c r="E9" s="51" t="s">
        <v>70</v>
      </c>
      <c r="F9" s="41"/>
      <c r="G9" s="50" t="s">
        <v>68</v>
      </c>
      <c r="H9" s="52" t="s">
        <v>70</v>
      </c>
      <c r="J9" s="53">
        <f>B10/12</f>
        <v>4.1674999999999997E-2</v>
      </c>
      <c r="K9" s="54">
        <f>E10/12</f>
        <v>8.3333333333333329E-2</v>
      </c>
      <c r="L9" s="54">
        <f>H10/12</f>
        <v>8.3333333333333329E-2</v>
      </c>
      <c r="M9" t="s">
        <v>71</v>
      </c>
      <c r="N9" s="55"/>
      <c r="O9" s="27"/>
      <c r="P9" s="27"/>
      <c r="Q9" s="28"/>
    </row>
    <row r="10" spans="1:17">
      <c r="A10" s="56">
        <v>0.16669999999999999</v>
      </c>
      <c r="B10" s="57">
        <f>A10*3</f>
        <v>0.50009999999999999</v>
      </c>
      <c r="C10" s="58"/>
      <c r="D10" s="59">
        <f>1/9</f>
        <v>0.1111111111111111</v>
      </c>
      <c r="E10" s="60">
        <f>D10*9</f>
        <v>1</v>
      </c>
      <c r="F10" s="61"/>
      <c r="G10" s="59">
        <f>1/12</f>
        <v>8.3333333333333329E-2</v>
      </c>
      <c r="H10" s="62">
        <f>G10*12</f>
        <v>1</v>
      </c>
      <c r="I10" s="43"/>
      <c r="J10" s="63">
        <f>J9</f>
        <v>4.1674999999999997E-2</v>
      </c>
      <c r="K10" s="63">
        <f>K9</f>
        <v>8.3333333333333329E-2</v>
      </c>
      <c r="L10" s="63">
        <f>L9</f>
        <v>8.3333333333333329E-2</v>
      </c>
      <c r="M10" t="s">
        <v>72</v>
      </c>
    </row>
    <row r="11" spans="1:17" ht="13.5" thickBot="1">
      <c r="A11" s="64"/>
      <c r="B11" s="65"/>
      <c r="C11" s="65"/>
      <c r="D11" s="66"/>
      <c r="E11" s="65"/>
      <c r="F11" s="66"/>
      <c r="G11" s="66"/>
      <c r="H11" s="67"/>
      <c r="I11" s="43"/>
    </row>
    <row r="12" spans="1:17">
      <c r="A12" s="30"/>
      <c r="B12" s="32"/>
      <c r="C12" s="32"/>
      <c r="D12" s="32"/>
      <c r="E12" s="68"/>
      <c r="F12" s="32"/>
      <c r="G12" s="32"/>
      <c r="H12" s="69"/>
      <c r="I12" s="43"/>
    </row>
    <row r="13" spans="1:17">
      <c r="A13" s="70"/>
      <c r="B13" s="71"/>
      <c r="C13" s="71"/>
      <c r="D13" s="72"/>
      <c r="E13" s="72"/>
      <c r="F13" s="72"/>
      <c r="G13" s="72"/>
      <c r="H13" s="73"/>
      <c r="I13" s="43"/>
    </row>
    <row r="14" spans="1:17">
      <c r="A14" s="35" t="s">
        <v>73</v>
      </c>
      <c r="B14" s="36"/>
      <c r="C14" s="36"/>
      <c r="D14" s="36"/>
      <c r="E14" s="36"/>
      <c r="F14" s="36"/>
      <c r="G14" s="36"/>
      <c r="H14" s="37"/>
      <c r="I14" s="43"/>
      <c r="K14" s="29" t="s">
        <v>27</v>
      </c>
      <c r="L14" s="29" t="s">
        <v>27</v>
      </c>
    </row>
    <row r="15" spans="1:17">
      <c r="A15" s="35" t="s">
        <v>74</v>
      </c>
      <c r="B15"/>
      <c r="C15"/>
      <c r="D15"/>
      <c r="E15"/>
      <c r="F15"/>
      <c r="G15"/>
      <c r="H15" s="38"/>
      <c r="I15" s="43"/>
    </row>
    <row r="16" spans="1:17">
      <c r="A16" s="30"/>
      <c r="B16" s="68"/>
      <c r="C16" s="68"/>
      <c r="D16" s="32"/>
      <c r="E16" s="32"/>
      <c r="F16" s="32"/>
      <c r="G16" s="32"/>
      <c r="H16" s="34"/>
      <c r="I16" s="43"/>
    </row>
    <row r="17" spans="1:13">
      <c r="A17" s="418" t="s">
        <v>59</v>
      </c>
      <c r="B17" s="419"/>
      <c r="C17" s="40"/>
      <c r="D17" s="419" t="s">
        <v>60</v>
      </c>
      <c r="E17" s="419"/>
      <c r="F17" s="41"/>
      <c r="G17" s="419" t="s">
        <v>61</v>
      </c>
      <c r="H17" s="420"/>
      <c r="I17" s="43"/>
    </row>
    <row r="18" spans="1:13">
      <c r="A18" s="421" t="s">
        <v>62</v>
      </c>
      <c r="B18" s="422"/>
      <c r="C18" s="40"/>
      <c r="D18" s="422" t="s">
        <v>63</v>
      </c>
      <c r="E18" s="422"/>
      <c r="F18" s="46"/>
      <c r="G18" s="422" t="s">
        <v>64</v>
      </c>
      <c r="H18" s="423"/>
      <c r="I18" s="43"/>
    </row>
    <row r="19" spans="1:13">
      <c r="A19" s="74"/>
      <c r="B19" s="46"/>
      <c r="C19" s="46"/>
      <c r="D19" s="46"/>
      <c r="E19" s="46"/>
      <c r="F19" s="46"/>
      <c r="G19" s="46"/>
      <c r="H19" s="48"/>
      <c r="I19" s="43"/>
      <c r="J19" s="49" t="s">
        <v>65</v>
      </c>
      <c r="K19" s="49" t="s">
        <v>66</v>
      </c>
      <c r="L19" s="49" t="s">
        <v>67</v>
      </c>
      <c r="M19"/>
    </row>
    <row r="20" spans="1:13">
      <c r="A20" s="75" t="s">
        <v>75</v>
      </c>
      <c r="B20" s="50" t="s">
        <v>68</v>
      </c>
      <c r="C20" s="76"/>
      <c r="D20" s="77" t="s">
        <v>75</v>
      </c>
      <c r="E20" s="50" t="s">
        <v>68</v>
      </c>
      <c r="F20" s="78"/>
      <c r="G20" s="77" t="s">
        <v>75</v>
      </c>
      <c r="H20" s="79" t="s">
        <v>68</v>
      </c>
      <c r="I20" s="43"/>
      <c r="J20" s="53">
        <f>A21/12</f>
        <v>8.3333333333333329E-2</v>
      </c>
      <c r="K20" s="54">
        <f>D21/12</f>
        <v>8.3333333333333329E-2</v>
      </c>
      <c r="L20" s="54">
        <f>G21/12</f>
        <v>8.3333333333333329E-2</v>
      </c>
      <c r="M20" t="s">
        <v>71</v>
      </c>
    </row>
    <row r="21" spans="1:13">
      <c r="A21" s="80">
        <v>1</v>
      </c>
      <c r="B21" s="81">
        <f>A21/3</f>
        <v>0.33333333333333331</v>
      </c>
      <c r="C21" s="58"/>
      <c r="D21" s="82">
        <v>1</v>
      </c>
      <c r="E21" s="83">
        <f>D21/9</f>
        <v>0.1111111111111111</v>
      </c>
      <c r="F21" s="61"/>
      <c r="G21" s="82">
        <v>1</v>
      </c>
      <c r="H21" s="84">
        <f>G21/12</f>
        <v>8.3333333333333329E-2</v>
      </c>
      <c r="I21" s="43"/>
      <c r="J21" s="63">
        <f>J20</f>
        <v>8.3333333333333329E-2</v>
      </c>
      <c r="K21" s="63">
        <f>K20</f>
        <v>8.3333333333333329E-2</v>
      </c>
      <c r="L21" s="63">
        <f>L20</f>
        <v>8.3333333333333329E-2</v>
      </c>
      <c r="M21" t="s">
        <v>72</v>
      </c>
    </row>
    <row r="22" spans="1:13" ht="13.5" thickBot="1">
      <c r="A22" s="64"/>
      <c r="B22" s="65"/>
      <c r="C22" s="65"/>
      <c r="D22" s="66"/>
      <c r="E22" s="65"/>
      <c r="F22" s="66"/>
      <c r="G22" s="66"/>
      <c r="H22" s="67"/>
      <c r="I22" s="85"/>
    </row>
    <row r="23" spans="1:13">
      <c r="I23" s="85"/>
    </row>
    <row r="24" spans="1:13">
      <c r="I24" s="85"/>
    </row>
    <row r="25" spans="1:13">
      <c r="I25" s="85"/>
    </row>
    <row r="26" spans="1:13">
      <c r="I26" s="86"/>
    </row>
    <row r="27" spans="1:13">
      <c r="I27" s="86"/>
    </row>
    <row r="28" spans="1:13">
      <c r="I28" s="86"/>
    </row>
    <row r="29" spans="1:13">
      <c r="I29" s="86"/>
    </row>
    <row r="30" spans="1:13">
      <c r="I30" s="86"/>
    </row>
    <row r="31" spans="1:13">
      <c r="I31" s="86"/>
    </row>
    <row r="32" spans="1:13">
      <c r="I32" s="86"/>
    </row>
    <row r="33" spans="1:9">
      <c r="I33" s="86"/>
    </row>
    <row r="34" spans="1:9">
      <c r="A34" s="43"/>
      <c r="B34" s="86"/>
      <c r="C34" s="86"/>
      <c r="D34" s="43"/>
      <c r="E34" s="43"/>
      <c r="F34" s="43"/>
      <c r="G34" s="43"/>
      <c r="H34" s="43"/>
      <c r="I34" s="86"/>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DBEA1-0B63-4745-ABC9-E02F9736EF74}">
  <sheetPr>
    <tabColor theme="9" tint="-0.249977111117893"/>
  </sheetPr>
  <dimension ref="A1:K29"/>
  <sheetViews>
    <sheetView workbookViewId="0">
      <selection activeCell="C4" sqref="C4"/>
    </sheetView>
  </sheetViews>
  <sheetFormatPr defaultRowHeight="12.75"/>
  <cols>
    <col min="1" max="1" width="17.28515625" customWidth="1"/>
    <col min="2" max="2" width="51.42578125" customWidth="1"/>
    <col min="3" max="3" width="25.42578125" customWidth="1"/>
    <col min="4" max="8" width="13.85546875" customWidth="1"/>
    <col min="9" max="9" width="11.42578125" customWidth="1"/>
  </cols>
  <sheetData>
    <row r="1" spans="1:11" ht="15.75">
      <c r="A1" s="424" t="s">
        <v>93</v>
      </c>
      <c r="B1" s="425"/>
      <c r="C1" s="425"/>
      <c r="D1" s="425"/>
      <c r="E1" s="425"/>
      <c r="F1" s="425"/>
      <c r="G1" s="425"/>
      <c r="H1" s="425"/>
      <c r="I1" s="426"/>
    </row>
    <row r="2" spans="1:11">
      <c r="A2" s="94"/>
      <c r="C2" s="95"/>
      <c r="D2" s="96"/>
      <c r="F2" s="97"/>
      <c r="G2" s="97"/>
      <c r="H2" s="1"/>
      <c r="I2" s="98"/>
    </row>
    <row r="3" spans="1:11">
      <c r="A3" s="99" t="s">
        <v>94</v>
      </c>
      <c r="B3" s="100" t="s">
        <v>95</v>
      </c>
      <c r="C3" s="101">
        <v>228000</v>
      </c>
      <c r="D3" s="132">
        <f>C3/12*9</f>
        <v>171000</v>
      </c>
      <c r="E3" s="132" t="s">
        <v>86</v>
      </c>
      <c r="F3" s="132">
        <f>D3/3</f>
        <v>57000</v>
      </c>
      <c r="G3" s="132" t="s">
        <v>195</v>
      </c>
      <c r="H3" s="95"/>
      <c r="I3" s="98"/>
    </row>
    <row r="4" spans="1:11" ht="14.45" customHeight="1">
      <c r="A4" s="102"/>
      <c r="B4" s="103"/>
      <c r="C4" s="104"/>
      <c r="D4" s="105"/>
      <c r="F4" s="97"/>
      <c r="G4" s="97"/>
      <c r="H4" s="1"/>
      <c r="I4" s="98"/>
      <c r="K4" t="s">
        <v>27</v>
      </c>
    </row>
    <row r="5" spans="1:11">
      <c r="A5" s="106" t="s">
        <v>96</v>
      </c>
      <c r="B5" s="107" t="s">
        <v>97</v>
      </c>
      <c r="C5" s="108">
        <f>C3/2080</f>
        <v>109.61538461538461</v>
      </c>
      <c r="D5" s="109"/>
      <c r="E5" s="95"/>
      <c r="F5" s="95"/>
      <c r="G5" s="95"/>
      <c r="H5" s="95"/>
      <c r="I5" s="98"/>
    </row>
    <row r="6" spans="1:11">
      <c r="A6" s="102"/>
      <c r="B6" s="103"/>
      <c r="C6" s="104"/>
      <c r="D6" s="105" t="s">
        <v>27</v>
      </c>
      <c r="F6" s="97"/>
      <c r="G6" s="97"/>
      <c r="H6" s="1"/>
      <c r="I6" s="98"/>
    </row>
    <row r="7" spans="1:11">
      <c r="A7" s="99" t="s">
        <v>98</v>
      </c>
      <c r="B7" s="100" t="s">
        <v>99</v>
      </c>
      <c r="C7" s="110">
        <v>9</v>
      </c>
      <c r="D7" s="105"/>
      <c r="F7" s="97"/>
      <c r="G7" s="97"/>
      <c r="H7" s="1"/>
      <c r="I7" s="98"/>
    </row>
    <row r="8" spans="1:11">
      <c r="A8" s="99" t="s">
        <v>100</v>
      </c>
      <c r="B8" s="100" t="s">
        <v>101</v>
      </c>
      <c r="C8" s="111">
        <v>169275</v>
      </c>
      <c r="F8" s="335"/>
      <c r="G8" s="97"/>
      <c r="H8" s="1"/>
      <c r="I8" s="98"/>
    </row>
    <row r="9" spans="1:11" ht="14.45" customHeight="1">
      <c r="A9" s="102"/>
      <c r="B9" s="103"/>
      <c r="C9" s="104"/>
      <c r="D9" s="105"/>
      <c r="F9" s="97"/>
      <c r="G9" s="97"/>
      <c r="H9" s="1"/>
      <c r="I9" s="98"/>
    </row>
    <row r="10" spans="1:11">
      <c r="A10" s="102" t="s">
        <v>96</v>
      </c>
      <c r="B10" s="112" t="s">
        <v>102</v>
      </c>
      <c r="C10" s="113">
        <f>IF(C7=12,C8,(C8/9*12))</f>
        <v>225700</v>
      </c>
      <c r="D10" s="114"/>
      <c r="E10" s="114"/>
      <c r="F10" s="97"/>
      <c r="G10" s="97"/>
      <c r="H10" s="1"/>
      <c r="I10" s="98"/>
    </row>
    <row r="11" spans="1:11">
      <c r="A11" s="102" t="s">
        <v>96</v>
      </c>
      <c r="B11" s="112" t="s">
        <v>103</v>
      </c>
      <c r="C11" s="115">
        <f>C8/(173.33*C7)</f>
        <v>108.51170214811823</v>
      </c>
      <c r="D11" s="114"/>
      <c r="E11" s="114"/>
      <c r="F11" s="97"/>
      <c r="G11" s="97"/>
      <c r="H11" s="1"/>
      <c r="I11" s="98"/>
    </row>
    <row r="12" spans="1:11">
      <c r="A12" s="102" t="s">
        <v>96</v>
      </c>
      <c r="B12" s="112" t="s">
        <v>104</v>
      </c>
      <c r="C12" s="116">
        <f>C5/C11</f>
        <v>1.0101710916465014</v>
      </c>
      <c r="D12" s="114"/>
      <c r="E12" s="114"/>
      <c r="F12" s="97"/>
      <c r="G12" s="97"/>
      <c r="H12" s="1"/>
      <c r="I12" s="98"/>
    </row>
    <row r="13" spans="1:11">
      <c r="A13" s="102" t="s">
        <v>96</v>
      </c>
      <c r="B13" s="112" t="s">
        <v>105</v>
      </c>
      <c r="C13" s="116">
        <f>1-C12</f>
        <v>-1.0171091646501429E-2</v>
      </c>
      <c r="D13" s="114"/>
      <c r="E13" s="114"/>
      <c r="F13" s="97"/>
      <c r="G13" s="97"/>
      <c r="H13" s="1"/>
      <c r="I13" s="98"/>
    </row>
    <row r="14" spans="1:11">
      <c r="A14" s="102"/>
      <c r="B14" s="103"/>
      <c r="C14" s="117"/>
      <c r="D14" s="118" t="s">
        <v>106</v>
      </c>
      <c r="E14" s="118" t="s">
        <v>107</v>
      </c>
      <c r="F14" s="118" t="s">
        <v>108</v>
      </c>
      <c r="G14" s="118" t="s">
        <v>109</v>
      </c>
      <c r="H14" s="118" t="s">
        <v>110</v>
      </c>
      <c r="I14" s="98"/>
    </row>
    <row r="15" spans="1:11">
      <c r="A15" s="99" t="s">
        <v>111</v>
      </c>
      <c r="B15" s="119" t="s">
        <v>112</v>
      </c>
      <c r="C15" s="120"/>
      <c r="D15" s="121">
        <v>0</v>
      </c>
      <c r="E15" s="121">
        <v>0</v>
      </c>
      <c r="F15" s="121">
        <v>0</v>
      </c>
      <c r="G15" s="121">
        <v>0</v>
      </c>
      <c r="H15" s="121">
        <v>0</v>
      </c>
      <c r="I15" s="98"/>
    </row>
    <row r="16" spans="1:11">
      <c r="A16" s="102"/>
      <c r="B16" s="103"/>
      <c r="C16" s="117"/>
      <c r="D16" s="122"/>
      <c r="E16" s="123"/>
      <c r="F16" s="124"/>
      <c r="G16" s="124"/>
      <c r="H16" s="125"/>
      <c r="I16" s="98"/>
    </row>
    <row r="17" spans="1:9">
      <c r="A17" s="102" t="s">
        <v>96</v>
      </c>
      <c r="B17" s="103" t="s">
        <v>113</v>
      </c>
      <c r="C17" s="123"/>
      <c r="D17" s="126">
        <f>$C$12*D15</f>
        <v>0</v>
      </c>
      <c r="E17" s="126">
        <f>$C$12*E15</f>
        <v>0</v>
      </c>
      <c r="F17" s="126">
        <f>$C$12*F15</f>
        <v>0</v>
      </c>
      <c r="G17" s="126">
        <f>$C$12*G15</f>
        <v>0</v>
      </c>
      <c r="H17" s="126">
        <f>$C$12*H15</f>
        <v>0</v>
      </c>
      <c r="I17" s="98"/>
    </row>
    <row r="18" spans="1:9">
      <c r="A18" s="102" t="s">
        <v>96</v>
      </c>
      <c r="B18" s="103" t="s">
        <v>114</v>
      </c>
      <c r="C18" s="123"/>
      <c r="D18" s="126">
        <f>$C$13*D15</f>
        <v>0</v>
      </c>
      <c r="E18" s="126">
        <f>$C$13*E15</f>
        <v>0</v>
      </c>
      <c r="F18" s="126">
        <f>$C$13*F15</f>
        <v>0</v>
      </c>
      <c r="G18" s="126">
        <f>$C$13*G15</f>
        <v>0</v>
      </c>
      <c r="H18" s="126">
        <f>$C$13*H15</f>
        <v>0</v>
      </c>
      <c r="I18" s="98"/>
    </row>
    <row r="19" spans="1:9">
      <c r="A19" s="102"/>
      <c r="B19" s="103"/>
      <c r="C19" s="117"/>
      <c r="D19" s="122"/>
      <c r="E19" s="123"/>
      <c r="F19" s="124"/>
      <c r="G19" s="124"/>
      <c r="H19" s="125"/>
      <c r="I19" s="98"/>
    </row>
    <row r="20" spans="1:9">
      <c r="A20" s="102" t="s">
        <v>96</v>
      </c>
      <c r="B20" s="103" t="s">
        <v>115</v>
      </c>
      <c r="C20" s="123"/>
      <c r="D20" s="127">
        <f>D17*$C$10</f>
        <v>0</v>
      </c>
      <c r="E20" s="127">
        <f>E17*$C$10</f>
        <v>0</v>
      </c>
      <c r="F20" s="127">
        <f>F17*$C$10</f>
        <v>0</v>
      </c>
      <c r="G20" s="127">
        <f>G17*$C$10</f>
        <v>0</v>
      </c>
      <c r="H20" s="127">
        <f>H17*$C$10</f>
        <v>0</v>
      </c>
      <c r="I20" s="98"/>
    </row>
    <row r="21" spans="1:9">
      <c r="A21" s="102"/>
      <c r="B21" s="103"/>
      <c r="C21" s="117"/>
      <c r="D21" s="122"/>
      <c r="E21" s="123"/>
      <c r="F21" s="124"/>
      <c r="G21" s="124"/>
      <c r="H21" s="125"/>
      <c r="I21" s="98"/>
    </row>
    <row r="22" spans="1:9">
      <c r="A22" s="102" t="s">
        <v>96</v>
      </c>
      <c r="B22" s="103" t="s">
        <v>116</v>
      </c>
      <c r="C22" s="123"/>
      <c r="D22" s="127">
        <f>D18*$C$10</f>
        <v>0</v>
      </c>
      <c r="E22" s="127">
        <f>E18*$C$10</f>
        <v>0</v>
      </c>
      <c r="F22" s="127">
        <f>F18*$C$10</f>
        <v>0</v>
      </c>
      <c r="G22" s="127">
        <f>G18*$C$10</f>
        <v>0</v>
      </c>
      <c r="H22" s="127">
        <f>H18*$C$10</f>
        <v>0</v>
      </c>
      <c r="I22" s="98"/>
    </row>
    <row r="23" spans="1:9">
      <c r="A23" s="94"/>
      <c r="C23" s="114"/>
      <c r="D23" s="114"/>
      <c r="E23" s="114"/>
      <c r="F23" s="114"/>
      <c r="G23" s="114"/>
      <c r="H23" s="114"/>
      <c r="I23" s="98"/>
    </row>
    <row r="24" spans="1:9">
      <c r="A24" s="427" t="s">
        <v>128</v>
      </c>
      <c r="B24" s="428"/>
      <c r="C24" s="331" t="s">
        <v>222</v>
      </c>
      <c r="D24" s="133"/>
      <c r="E24" s="133"/>
      <c r="F24" s="133"/>
      <c r="G24" s="133"/>
      <c r="H24" s="133"/>
      <c r="I24" s="98"/>
    </row>
    <row r="25" spans="1:9">
      <c r="A25" s="129"/>
      <c r="B25" s="128"/>
      <c r="C25" s="130"/>
      <c r="D25" s="130"/>
      <c r="E25" s="130"/>
      <c r="F25" s="130"/>
      <c r="G25" s="130"/>
      <c r="H25" s="130"/>
      <c r="I25" s="98"/>
    </row>
    <row r="26" spans="1:9">
      <c r="A26" s="429" t="s">
        <v>263</v>
      </c>
      <c r="B26" s="430"/>
      <c r="C26" s="395" t="s">
        <v>264</v>
      </c>
      <c r="D26" s="342"/>
      <c r="E26" s="342"/>
      <c r="F26" s="342"/>
      <c r="G26" s="342"/>
      <c r="H26" s="342"/>
      <c r="I26" s="131"/>
    </row>
    <row r="28" spans="1:9">
      <c r="C28" s="132"/>
    </row>
    <row r="29" spans="1:9">
      <c r="B29" t="s">
        <v>27</v>
      </c>
    </row>
  </sheetData>
  <mergeCells count="3">
    <mergeCell ref="A1:I1"/>
    <mergeCell ref="A24:B24"/>
    <mergeCell ref="A26:B26"/>
  </mergeCells>
  <hyperlinks>
    <hyperlink ref="C24" r:id="rId1" xr:uid="{BD0874E0-C648-4160-B8CA-345A22018656}"/>
    <hyperlink ref="C26" r:id="rId2" xr:uid="{E36AE222-BD2D-4684-AD47-6A91870190A3}"/>
  </hyperlinks>
  <pageMargins left="0.7" right="0.7" top="0.75" bottom="0.75" header="0.3" footer="0.3"/>
  <pageSetup orientation="portrait"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859B0-E58A-4474-A577-9024180A7558}">
  <sheetPr>
    <tabColor theme="9" tint="0.59999389629810485"/>
  </sheetPr>
  <dimension ref="A1:Q49"/>
  <sheetViews>
    <sheetView topLeftCell="B1" workbookViewId="0">
      <selection activeCell="B1" sqref="B1"/>
    </sheetView>
  </sheetViews>
  <sheetFormatPr defaultRowHeight="12.75"/>
  <cols>
    <col min="1" max="1" width="12.85546875" hidden="1" customWidth="1"/>
    <col min="4" max="4" width="11" customWidth="1"/>
    <col min="5" max="8" width="12.7109375" customWidth="1"/>
    <col min="9" max="10" width="26.7109375" customWidth="1"/>
  </cols>
  <sheetData>
    <row r="1" spans="1:14" ht="25.5">
      <c r="A1" s="153"/>
      <c r="B1" s="153"/>
      <c r="C1" s="153"/>
      <c r="D1" s="153"/>
      <c r="E1" s="280" t="s">
        <v>137</v>
      </c>
      <c r="F1" s="280" t="s">
        <v>138</v>
      </c>
      <c r="G1" s="280" t="s">
        <v>139</v>
      </c>
      <c r="H1" s="280" t="s">
        <v>140</v>
      </c>
      <c r="I1" s="280" t="s">
        <v>141</v>
      </c>
      <c r="J1" s="280" t="s">
        <v>142</v>
      </c>
    </row>
    <row r="2" spans="1:14" hidden="1">
      <c r="A2" s="155" t="s">
        <v>144</v>
      </c>
      <c r="B2" s="153"/>
      <c r="C2" s="153"/>
      <c r="D2" s="153"/>
      <c r="E2" s="279"/>
      <c r="F2" s="279"/>
      <c r="G2" s="279"/>
      <c r="H2" s="279"/>
      <c r="I2" s="279"/>
      <c r="J2" s="279"/>
    </row>
    <row r="3" spans="1:14" hidden="1">
      <c r="A3" s="156">
        <v>41664</v>
      </c>
      <c r="B3" s="153">
        <v>0</v>
      </c>
      <c r="C3" s="154">
        <v>30498</v>
      </c>
      <c r="D3" s="161">
        <v>30863</v>
      </c>
      <c r="E3" s="281">
        <v>45</v>
      </c>
      <c r="F3" s="281">
        <v>31.4</v>
      </c>
      <c r="G3" s="281">
        <v>55</v>
      </c>
      <c r="H3" s="281"/>
      <c r="I3" s="281">
        <v>32</v>
      </c>
      <c r="J3" s="281"/>
    </row>
    <row r="4" spans="1:14" hidden="1">
      <c r="A4" s="154"/>
      <c r="B4" s="153">
        <v>0</v>
      </c>
      <c r="C4" s="154">
        <v>30864</v>
      </c>
      <c r="D4" s="161">
        <v>31228</v>
      </c>
      <c r="E4" s="281">
        <v>41</v>
      </c>
      <c r="F4" s="281">
        <v>25.7</v>
      </c>
      <c r="G4" s="281">
        <v>55</v>
      </c>
      <c r="H4" s="281"/>
      <c r="I4" s="281">
        <v>32</v>
      </c>
      <c r="J4" s="281"/>
    </row>
    <row r="5" spans="1:14" hidden="1">
      <c r="A5" s="153"/>
      <c r="B5" s="153">
        <v>0</v>
      </c>
      <c r="C5" s="154">
        <v>31229</v>
      </c>
      <c r="D5" s="161">
        <v>31593</v>
      </c>
      <c r="E5" s="281">
        <v>41</v>
      </c>
      <c r="F5" s="281">
        <v>25</v>
      </c>
      <c r="G5" s="281">
        <v>55</v>
      </c>
      <c r="H5" s="281"/>
      <c r="I5" s="281">
        <v>32</v>
      </c>
      <c r="J5" s="281"/>
      <c r="M5" t="s">
        <v>27</v>
      </c>
    </row>
    <row r="6" spans="1:14" hidden="1">
      <c r="A6" s="153"/>
      <c r="B6" s="153">
        <v>0</v>
      </c>
      <c r="C6" s="154">
        <v>31594</v>
      </c>
      <c r="D6" s="161">
        <v>31958</v>
      </c>
      <c r="E6" s="281">
        <v>41</v>
      </c>
      <c r="F6" s="281">
        <v>25</v>
      </c>
      <c r="G6" s="281">
        <v>55</v>
      </c>
      <c r="H6" s="281"/>
      <c r="I6" s="281">
        <v>32</v>
      </c>
      <c r="J6" s="281"/>
    </row>
    <row r="7" spans="1:14" hidden="1">
      <c r="A7" s="153"/>
      <c r="B7" s="153">
        <v>0</v>
      </c>
      <c r="C7" s="154">
        <v>31959</v>
      </c>
      <c r="D7" s="161">
        <v>32324</v>
      </c>
      <c r="E7" s="281">
        <v>42</v>
      </c>
      <c r="F7" s="281">
        <v>26</v>
      </c>
      <c r="G7" s="281">
        <v>55</v>
      </c>
      <c r="H7" s="281"/>
      <c r="I7" s="281">
        <v>32.299999999999997</v>
      </c>
      <c r="J7" s="281"/>
    </row>
    <row r="8" spans="1:14" hidden="1">
      <c r="A8" s="153"/>
      <c r="B8" s="153">
        <v>0</v>
      </c>
      <c r="C8" s="154">
        <v>32325</v>
      </c>
      <c r="D8" s="161">
        <v>32689</v>
      </c>
      <c r="E8" s="281">
        <v>42</v>
      </c>
      <c r="F8" s="281">
        <v>26</v>
      </c>
      <c r="G8" s="281">
        <v>55</v>
      </c>
      <c r="H8" s="281"/>
      <c r="I8" s="281">
        <v>32.299999999999997</v>
      </c>
      <c r="J8" s="281"/>
    </row>
    <row r="9" spans="1:14" hidden="1">
      <c r="A9" s="153"/>
      <c r="B9" s="153">
        <v>0</v>
      </c>
      <c r="C9" s="154">
        <v>32690</v>
      </c>
      <c r="D9" s="161">
        <v>33054</v>
      </c>
      <c r="E9" s="281">
        <v>42.3</v>
      </c>
      <c r="F9" s="281">
        <v>26</v>
      </c>
      <c r="G9" s="281">
        <v>55</v>
      </c>
      <c r="H9" s="281"/>
      <c r="I9" s="281">
        <v>32.5</v>
      </c>
      <c r="J9" s="281"/>
    </row>
    <row r="10" spans="1:14" hidden="1">
      <c r="A10" s="153"/>
      <c r="B10" s="153">
        <v>0</v>
      </c>
      <c r="C10" s="154">
        <v>33055</v>
      </c>
      <c r="D10" s="161">
        <v>33419</v>
      </c>
      <c r="E10" s="281">
        <v>42.5</v>
      </c>
      <c r="F10" s="281">
        <v>26</v>
      </c>
      <c r="G10" s="281">
        <v>55</v>
      </c>
      <c r="H10" s="281"/>
      <c r="I10" s="281">
        <v>32.5</v>
      </c>
      <c r="J10" s="281"/>
      <c r="N10" t="s">
        <v>27</v>
      </c>
    </row>
    <row r="11" spans="1:14" hidden="1">
      <c r="A11" s="153"/>
      <c r="B11" s="153">
        <v>0</v>
      </c>
      <c r="C11" s="154">
        <v>33420</v>
      </c>
      <c r="D11" s="161">
        <v>33785</v>
      </c>
      <c r="E11" s="281">
        <v>48</v>
      </c>
      <c r="F11" s="281">
        <v>26</v>
      </c>
      <c r="G11" s="281">
        <v>55</v>
      </c>
      <c r="H11" s="281"/>
      <c r="I11" s="281">
        <v>32.5</v>
      </c>
      <c r="J11" s="281"/>
    </row>
    <row r="12" spans="1:14" hidden="1">
      <c r="A12" s="153"/>
      <c r="B12" s="153">
        <v>0</v>
      </c>
      <c r="C12" s="154">
        <v>33786</v>
      </c>
      <c r="D12" s="161">
        <v>34880</v>
      </c>
      <c r="E12" s="281">
        <v>50</v>
      </c>
      <c r="F12" s="281">
        <v>26</v>
      </c>
      <c r="G12" s="281">
        <v>55</v>
      </c>
      <c r="H12" s="281"/>
      <c r="I12" s="281">
        <v>33</v>
      </c>
      <c r="J12" s="281"/>
    </row>
    <row r="13" spans="1:14" hidden="1">
      <c r="A13" s="153"/>
      <c r="B13" s="153">
        <v>0</v>
      </c>
      <c r="C13" s="154">
        <v>34881</v>
      </c>
      <c r="D13" s="161">
        <v>37072</v>
      </c>
      <c r="E13" s="281">
        <v>50</v>
      </c>
      <c r="F13" s="281">
        <v>26</v>
      </c>
      <c r="G13" s="281">
        <v>55</v>
      </c>
      <c r="H13" s="281"/>
      <c r="I13" s="281">
        <v>33</v>
      </c>
      <c r="J13" s="281"/>
    </row>
    <row r="14" spans="1:14" hidden="1">
      <c r="A14" s="153"/>
      <c r="B14" s="153">
        <v>0</v>
      </c>
      <c r="C14" s="154">
        <v>37073</v>
      </c>
      <c r="D14" s="161">
        <v>37437</v>
      </c>
      <c r="E14" s="281">
        <v>49</v>
      </c>
      <c r="F14" s="281">
        <v>26</v>
      </c>
      <c r="G14" s="281">
        <v>54</v>
      </c>
      <c r="H14" s="281"/>
      <c r="I14" s="281">
        <v>32</v>
      </c>
      <c r="J14" s="281"/>
    </row>
    <row r="15" spans="1:14" hidden="1">
      <c r="A15" s="153"/>
      <c r="B15" s="153">
        <v>0</v>
      </c>
      <c r="C15" s="154">
        <v>37438</v>
      </c>
      <c r="D15" s="161">
        <v>38168</v>
      </c>
      <c r="E15" s="281">
        <v>49</v>
      </c>
      <c r="F15" s="281">
        <v>26</v>
      </c>
      <c r="G15" s="281">
        <v>54</v>
      </c>
      <c r="H15" s="281"/>
      <c r="I15" s="281">
        <v>32</v>
      </c>
      <c r="J15" s="281"/>
    </row>
    <row r="16" spans="1:14" hidden="1">
      <c r="A16" s="153"/>
      <c r="B16" s="153">
        <v>0</v>
      </c>
      <c r="C16" s="154">
        <v>38169</v>
      </c>
      <c r="D16" s="161">
        <v>38533</v>
      </c>
      <c r="E16" s="281">
        <v>49</v>
      </c>
      <c r="F16" s="281">
        <v>26</v>
      </c>
      <c r="G16" s="281"/>
      <c r="H16" s="281"/>
      <c r="I16" s="281"/>
      <c r="J16" s="281"/>
    </row>
    <row r="17" spans="2:17" hidden="1">
      <c r="B17" s="153">
        <v>0</v>
      </c>
      <c r="C17" s="154">
        <v>38534</v>
      </c>
      <c r="D17" s="161">
        <v>38898</v>
      </c>
      <c r="E17" s="281">
        <v>48.5</v>
      </c>
      <c r="F17" s="281">
        <v>26</v>
      </c>
      <c r="G17" s="281">
        <v>54</v>
      </c>
      <c r="H17" s="281"/>
      <c r="I17" s="281">
        <v>32</v>
      </c>
      <c r="J17" s="281"/>
    </row>
    <row r="18" spans="2:17" hidden="1">
      <c r="B18" s="153">
        <v>0</v>
      </c>
      <c r="C18" s="154">
        <v>38899</v>
      </c>
      <c r="D18" s="161">
        <v>39263</v>
      </c>
      <c r="E18" s="281">
        <v>48</v>
      </c>
      <c r="F18" s="281">
        <v>26</v>
      </c>
      <c r="G18" s="281">
        <v>54</v>
      </c>
      <c r="H18" s="281"/>
      <c r="I18" s="281">
        <v>32</v>
      </c>
      <c r="J18" s="281"/>
    </row>
    <row r="19" spans="2:17" hidden="1">
      <c r="B19" s="153">
        <v>0</v>
      </c>
      <c r="C19" s="154">
        <v>39264</v>
      </c>
      <c r="D19" s="161">
        <v>39629</v>
      </c>
      <c r="E19" s="281">
        <v>48</v>
      </c>
      <c r="F19" s="281">
        <v>26</v>
      </c>
      <c r="G19" s="281">
        <v>54</v>
      </c>
      <c r="H19" s="281">
        <v>23.8</v>
      </c>
      <c r="I19" s="281">
        <v>32</v>
      </c>
      <c r="J19" s="281">
        <v>25.6</v>
      </c>
    </row>
    <row r="20" spans="2:17" hidden="1">
      <c r="B20" s="153">
        <v>0</v>
      </c>
      <c r="C20" s="154">
        <v>39630</v>
      </c>
      <c r="D20" s="161">
        <v>40724</v>
      </c>
      <c r="E20" s="281">
        <v>42</v>
      </c>
      <c r="F20" s="281">
        <v>26</v>
      </c>
      <c r="G20" s="281">
        <v>53</v>
      </c>
      <c r="H20" s="281">
        <v>26</v>
      </c>
      <c r="I20" s="281">
        <v>29</v>
      </c>
      <c r="J20" s="281">
        <v>23.8</v>
      </c>
    </row>
    <row r="21" spans="2:17" hidden="1">
      <c r="B21" s="153">
        <v>0</v>
      </c>
      <c r="C21" s="154">
        <v>40725</v>
      </c>
      <c r="D21" s="161">
        <v>41090</v>
      </c>
      <c r="E21" s="281">
        <v>42</v>
      </c>
      <c r="F21" s="281">
        <v>26</v>
      </c>
      <c r="G21" s="281">
        <v>53</v>
      </c>
      <c r="H21" s="281">
        <v>26</v>
      </c>
      <c r="I21" s="281">
        <v>29</v>
      </c>
      <c r="J21" s="281">
        <v>23.8</v>
      </c>
    </row>
    <row r="22" spans="2:17" hidden="1">
      <c r="B22" s="153">
        <v>0</v>
      </c>
      <c r="C22" s="154">
        <v>41091</v>
      </c>
      <c r="D22" s="161">
        <v>41820</v>
      </c>
      <c r="E22" s="281">
        <v>45</v>
      </c>
      <c r="F22" s="281">
        <v>26</v>
      </c>
      <c r="G22" s="281">
        <v>59.4</v>
      </c>
      <c r="H22" s="281">
        <v>26</v>
      </c>
      <c r="I22" s="281">
        <v>30.7</v>
      </c>
      <c r="J22" s="281">
        <v>24.3</v>
      </c>
      <c r="O22" t="s">
        <v>27</v>
      </c>
    </row>
    <row r="23" spans="2:17" hidden="1">
      <c r="B23" s="153">
        <v>0</v>
      </c>
      <c r="C23" s="154">
        <v>41821</v>
      </c>
      <c r="D23" s="161">
        <v>42185</v>
      </c>
      <c r="E23" s="281">
        <v>45</v>
      </c>
      <c r="F23" s="281">
        <v>26</v>
      </c>
      <c r="G23" s="281">
        <v>59.4</v>
      </c>
      <c r="H23" s="281">
        <v>26</v>
      </c>
      <c r="I23" s="281">
        <v>30.7</v>
      </c>
      <c r="J23" s="281">
        <v>24.3</v>
      </c>
      <c r="O23" t="s">
        <v>27</v>
      </c>
    </row>
    <row r="24" spans="2:17" hidden="1">
      <c r="B24" s="153">
        <v>0</v>
      </c>
      <c r="C24" s="154">
        <v>42186</v>
      </c>
      <c r="D24" s="161">
        <v>42551</v>
      </c>
      <c r="E24" s="281">
        <v>45</v>
      </c>
      <c r="F24" s="281">
        <v>26</v>
      </c>
      <c r="G24" s="281">
        <v>59.4</v>
      </c>
      <c r="H24" s="281">
        <v>26</v>
      </c>
      <c r="I24" s="281">
        <v>30.7</v>
      </c>
      <c r="J24" s="281">
        <v>24.3</v>
      </c>
    </row>
    <row r="25" spans="2:17">
      <c r="B25" s="153">
        <v>0</v>
      </c>
      <c r="C25" s="154">
        <v>43282</v>
      </c>
      <c r="D25" s="161">
        <v>43646</v>
      </c>
      <c r="E25" s="281">
        <v>47.5</v>
      </c>
      <c r="F25" s="281">
        <v>26</v>
      </c>
      <c r="G25" s="281">
        <v>46</v>
      </c>
      <c r="H25" s="281">
        <v>26</v>
      </c>
      <c r="I25" s="281">
        <v>30.7</v>
      </c>
      <c r="J25" s="281">
        <v>26</v>
      </c>
    </row>
    <row r="26" spans="2:17">
      <c r="B26" s="153">
        <v>0</v>
      </c>
      <c r="C26" s="154">
        <v>43647</v>
      </c>
      <c r="D26" s="161">
        <v>44377</v>
      </c>
      <c r="E26" s="281">
        <v>47.5</v>
      </c>
      <c r="F26" s="281">
        <v>26</v>
      </c>
      <c r="G26" s="281">
        <v>46</v>
      </c>
      <c r="H26" s="281">
        <v>26</v>
      </c>
      <c r="I26" s="281">
        <v>30.7</v>
      </c>
      <c r="J26" s="281">
        <v>26</v>
      </c>
    </row>
    <row r="27" spans="2:17">
      <c r="B27" s="153">
        <v>0</v>
      </c>
      <c r="C27" s="154">
        <v>44378</v>
      </c>
      <c r="D27" s="161">
        <v>45107</v>
      </c>
      <c r="E27" s="281">
        <v>47.5</v>
      </c>
      <c r="F27" s="281">
        <v>26</v>
      </c>
      <c r="G27" s="281">
        <v>46</v>
      </c>
      <c r="H27" s="281">
        <v>26</v>
      </c>
      <c r="I27" s="281">
        <v>30.7</v>
      </c>
      <c r="J27" s="281">
        <v>26</v>
      </c>
      <c r="Q27" t="s">
        <v>27</v>
      </c>
    </row>
    <row r="28" spans="2:17">
      <c r="B28" s="153">
        <v>0</v>
      </c>
      <c r="C28" s="154">
        <v>45108</v>
      </c>
      <c r="D28" s="161">
        <v>46568</v>
      </c>
      <c r="E28" s="281">
        <v>49</v>
      </c>
      <c r="F28" s="281">
        <v>26</v>
      </c>
      <c r="G28" s="281">
        <v>48</v>
      </c>
      <c r="H28" s="281">
        <v>26</v>
      </c>
      <c r="I28" s="281">
        <v>33</v>
      </c>
      <c r="J28" s="281">
        <v>26</v>
      </c>
    </row>
    <row r="29" spans="2:17">
      <c r="B29" s="153"/>
      <c r="C29" s="154"/>
      <c r="D29" s="154"/>
      <c r="E29" s="343"/>
      <c r="F29" s="343"/>
      <c r="G29" s="343"/>
      <c r="H29" s="343"/>
      <c r="I29" s="343"/>
      <c r="J29" s="343"/>
    </row>
    <row r="30" spans="2:17">
      <c r="B30" s="153"/>
      <c r="C30" s="154"/>
      <c r="D30" s="154"/>
      <c r="E30" s="343"/>
      <c r="F30" s="343"/>
      <c r="G30" s="343"/>
      <c r="H30" s="343"/>
      <c r="I30" s="343"/>
      <c r="J30" s="343"/>
    </row>
    <row r="31" spans="2:17">
      <c r="B31" s="153"/>
      <c r="C31" s="157"/>
      <c r="D31" s="158"/>
      <c r="E31" s="153"/>
      <c r="F31" s="153"/>
      <c r="G31" s="153"/>
      <c r="H31" s="153"/>
      <c r="I31" s="153"/>
      <c r="J31" s="153"/>
    </row>
    <row r="32" spans="2:17">
      <c r="B32" s="153"/>
      <c r="C32" s="157"/>
      <c r="E32" s="153"/>
      <c r="F32" s="153"/>
      <c r="G32" s="153"/>
      <c r="H32" s="153"/>
      <c r="I32" s="153"/>
      <c r="J32" s="153"/>
    </row>
    <row r="33" spans="2:10">
      <c r="B33" s="153"/>
      <c r="C33" s="153"/>
      <c r="D33" s="159"/>
      <c r="E33" s="153"/>
      <c r="F33" s="153"/>
      <c r="G33" s="153"/>
      <c r="H33" s="153"/>
      <c r="I33" s="153"/>
      <c r="J33" s="153"/>
    </row>
    <row r="34" spans="2:10">
      <c r="B34" s="153"/>
      <c r="C34" s="153"/>
      <c r="D34" s="160"/>
      <c r="E34" s="153"/>
      <c r="F34" s="153"/>
      <c r="G34" s="153"/>
      <c r="H34" s="153"/>
      <c r="I34" s="153"/>
      <c r="J34" s="153"/>
    </row>
    <row r="35" spans="2:10">
      <c r="B35" s="153"/>
      <c r="C35" s="153"/>
      <c r="D35" s="159"/>
      <c r="E35" s="153"/>
      <c r="F35" s="153"/>
      <c r="G35" s="153"/>
      <c r="H35" s="153"/>
      <c r="I35" s="153"/>
      <c r="J35" s="153"/>
    </row>
    <row r="49" spans="15:15">
      <c r="O49" t="s">
        <v>27</v>
      </c>
    </row>
  </sheetData>
  <sheetProtection password="CCF6" sheet="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368F-DD8C-4B26-AB8B-1026CA3389D1}">
  <sheetPr>
    <tabColor rgb="FF7030A0"/>
  </sheetPr>
  <dimension ref="A1:N152"/>
  <sheetViews>
    <sheetView topLeftCell="A3" zoomScale="90" zoomScaleNormal="90" workbookViewId="0">
      <selection activeCell="M11" sqref="M11"/>
    </sheetView>
  </sheetViews>
  <sheetFormatPr defaultRowHeight="12.75"/>
  <cols>
    <col min="1" max="1" width="33.7109375" customWidth="1"/>
    <col min="2" max="7" width="11.7109375" customWidth="1"/>
    <col min="8" max="8" width="11.7109375" hidden="1" customWidth="1"/>
    <col min="9" max="9" width="66.7109375" customWidth="1"/>
    <col min="10" max="10" width="10.85546875" customWidth="1"/>
    <col min="11" max="12" width="9.140625" customWidth="1"/>
  </cols>
  <sheetData>
    <row r="1" spans="1:14" ht="15" customHeight="1">
      <c r="A1" s="433" t="s">
        <v>248</v>
      </c>
      <c r="B1" s="318" t="s">
        <v>199</v>
      </c>
      <c r="E1" s="318"/>
      <c r="F1" s="318"/>
    </row>
    <row r="2" spans="1:14" ht="15">
      <c r="A2" s="433"/>
      <c r="B2" s="318" t="s">
        <v>249</v>
      </c>
      <c r="E2" s="318"/>
      <c r="F2" s="318"/>
      <c r="G2" s="363"/>
      <c r="I2" s="364"/>
    </row>
    <row r="3" spans="1:14" ht="15.75" thickBot="1">
      <c r="A3" s="377">
        <f>'R&amp;R Generic Detailed Budget'!Q4</f>
        <v>46279</v>
      </c>
      <c r="B3" s="434" t="s">
        <v>250</v>
      </c>
      <c r="C3" s="435"/>
      <c r="D3" s="434" t="s">
        <v>251</v>
      </c>
      <c r="E3" s="436"/>
      <c r="F3" s="435"/>
      <c r="G3" s="382" t="s">
        <v>254</v>
      </c>
    </row>
    <row r="4" spans="1:14" ht="15.75">
      <c r="A4" s="431" t="s">
        <v>156</v>
      </c>
      <c r="B4" s="378">
        <v>2026</v>
      </c>
      <c r="C4" s="379">
        <v>2027</v>
      </c>
      <c r="D4" s="380">
        <v>2028</v>
      </c>
      <c r="E4" s="380">
        <v>2029</v>
      </c>
      <c r="F4" s="380">
        <v>2030</v>
      </c>
      <c r="G4" s="399">
        <v>2031</v>
      </c>
      <c r="H4" s="365">
        <v>2032</v>
      </c>
      <c r="I4" s="431" t="s">
        <v>157</v>
      </c>
    </row>
    <row r="5" spans="1:14" ht="16.5" thickBot="1">
      <c r="A5" s="432"/>
      <c r="B5" s="319" t="s">
        <v>162</v>
      </c>
      <c r="C5" s="321" t="s">
        <v>162</v>
      </c>
      <c r="D5" s="334" t="s">
        <v>162</v>
      </c>
      <c r="E5" s="334" t="s">
        <v>162</v>
      </c>
      <c r="F5" s="334" t="s">
        <v>162</v>
      </c>
      <c r="G5" s="400" t="s">
        <v>162</v>
      </c>
      <c r="H5" s="366" t="s">
        <v>162</v>
      </c>
      <c r="I5" s="432"/>
      <c r="J5" s="1"/>
      <c r="K5" s="290"/>
    </row>
    <row r="6" spans="1:14" ht="60.75" thickBot="1">
      <c r="A6" s="354" t="s">
        <v>163</v>
      </c>
      <c r="B6" s="413">
        <v>0.76500000000000001</v>
      </c>
      <c r="C6" s="414">
        <v>0.77400000000000002</v>
      </c>
      <c r="D6" s="414">
        <v>0.78400000000000003</v>
      </c>
      <c r="E6" s="414">
        <v>0.77300000000000002</v>
      </c>
      <c r="F6" s="414">
        <v>0.77800000000000002</v>
      </c>
      <c r="G6" s="373">
        <f>AVERAGE(B6:F6)</f>
        <v>0.77480000000000016</v>
      </c>
      <c r="H6" s="374">
        <f>AVERAGE(C6:G6)</f>
        <v>0.77676000000000001</v>
      </c>
      <c r="I6" s="355" t="s">
        <v>186</v>
      </c>
      <c r="J6" s="325"/>
      <c r="K6" s="326"/>
      <c r="L6" s="371"/>
      <c r="M6" s="371"/>
      <c r="N6" s="371"/>
    </row>
    <row r="7" spans="1:14" ht="45.75" thickBot="1">
      <c r="A7" s="302" t="s">
        <v>164</v>
      </c>
      <c r="B7" s="401">
        <v>0.52900000000000003</v>
      </c>
      <c r="C7" s="375">
        <v>0.51100000000000001</v>
      </c>
      <c r="D7" s="375">
        <v>0.504</v>
      </c>
      <c r="E7" s="375">
        <v>0.501</v>
      </c>
      <c r="F7" s="375">
        <v>0.502</v>
      </c>
      <c r="G7" s="375">
        <f>AVERAGE(B7:F7)</f>
        <v>0.50939999999999996</v>
      </c>
      <c r="H7" s="374">
        <f t="shared" ref="H7:H13" si="0">AVERAGE(C7:G7)</f>
        <v>0.50547999999999993</v>
      </c>
      <c r="I7" s="322" t="s">
        <v>191</v>
      </c>
      <c r="J7" s="325"/>
      <c r="K7" s="290"/>
    </row>
    <row r="8" spans="1:14" ht="45.75" thickBot="1">
      <c r="A8" s="354" t="s">
        <v>165</v>
      </c>
      <c r="B8" s="372">
        <v>0.34200000000000003</v>
      </c>
      <c r="C8" s="373">
        <v>0.34</v>
      </c>
      <c r="D8" s="373">
        <v>0.317</v>
      </c>
      <c r="E8" s="373">
        <v>0.32900000000000001</v>
      </c>
      <c r="F8" s="373">
        <v>0.32900000000000001</v>
      </c>
      <c r="G8" s="373">
        <f>AVERAGE(B8:F8)</f>
        <v>0.33140000000000003</v>
      </c>
      <c r="H8" s="374">
        <f t="shared" si="0"/>
        <v>0.32927999999999996</v>
      </c>
      <c r="I8" s="355" t="s">
        <v>197</v>
      </c>
      <c r="J8" s="325"/>
      <c r="K8" s="290"/>
    </row>
    <row r="9" spans="1:14" ht="45.75" thickBot="1">
      <c r="A9" s="302" t="s">
        <v>166</v>
      </c>
      <c r="B9" s="401">
        <v>1.0489999999999999</v>
      </c>
      <c r="C9" s="375">
        <v>1.0740000000000001</v>
      </c>
      <c r="D9" s="375">
        <v>1.0940000000000001</v>
      </c>
      <c r="E9" s="375">
        <v>1.0489999999999999</v>
      </c>
      <c r="F9" s="375">
        <v>1.0640000000000001</v>
      </c>
      <c r="G9" s="375">
        <f t="shared" ref="G9:G13" si="1">AVERAGE(B9:F9)</f>
        <v>1.0660000000000001</v>
      </c>
      <c r="H9" s="374">
        <f t="shared" si="0"/>
        <v>1.0694000000000001</v>
      </c>
      <c r="I9" s="322" t="s">
        <v>187</v>
      </c>
      <c r="J9" s="325"/>
      <c r="K9" s="290"/>
    </row>
    <row r="10" spans="1:14" ht="30.75" thickBot="1">
      <c r="A10" s="354" t="s">
        <v>167</v>
      </c>
      <c r="B10" s="372">
        <v>0.82299999999999995</v>
      </c>
      <c r="C10" s="373">
        <v>0.91</v>
      </c>
      <c r="D10" s="373">
        <v>0.90100000000000002</v>
      </c>
      <c r="E10" s="373">
        <v>0.89100000000000001</v>
      </c>
      <c r="F10" s="373">
        <v>0.89800000000000002</v>
      </c>
      <c r="G10" s="373">
        <f t="shared" si="1"/>
        <v>0.88460000000000005</v>
      </c>
      <c r="H10" s="374">
        <f t="shared" si="0"/>
        <v>0.89692000000000005</v>
      </c>
      <c r="I10" s="355" t="s">
        <v>188</v>
      </c>
      <c r="J10" s="325"/>
      <c r="K10" s="290"/>
    </row>
    <row r="11" spans="1:14" ht="30.75" thickBot="1">
      <c r="A11" s="302" t="s">
        <v>168</v>
      </c>
      <c r="B11" s="401">
        <v>0.79600000000000004</v>
      </c>
      <c r="C11" s="375">
        <v>0.80200000000000005</v>
      </c>
      <c r="D11" s="375">
        <v>0.81399999999999995</v>
      </c>
      <c r="E11" s="375">
        <v>0.79300000000000004</v>
      </c>
      <c r="F11" s="375">
        <v>0.79800000000000004</v>
      </c>
      <c r="G11" s="375">
        <f t="shared" si="1"/>
        <v>0.80059999999999998</v>
      </c>
      <c r="H11" s="374">
        <f t="shared" si="0"/>
        <v>0.80152000000000001</v>
      </c>
      <c r="I11" s="322" t="s">
        <v>189</v>
      </c>
      <c r="J11" s="325"/>
      <c r="K11" s="290"/>
    </row>
    <row r="12" spans="1:14" ht="45.75" thickBot="1">
      <c r="A12" s="354" t="s">
        <v>196</v>
      </c>
      <c r="B12" s="372">
        <v>0.26100000000000001</v>
      </c>
      <c r="C12" s="373">
        <v>0.32300000000000001</v>
      </c>
      <c r="D12" s="373">
        <v>0.218</v>
      </c>
      <c r="E12" s="373">
        <v>0.31</v>
      </c>
      <c r="F12" s="373">
        <v>0.313</v>
      </c>
      <c r="G12" s="373">
        <f t="shared" si="1"/>
        <v>0.28500000000000003</v>
      </c>
      <c r="H12" s="374">
        <f t="shared" si="0"/>
        <v>0.28979999999999995</v>
      </c>
      <c r="I12" s="355" t="s">
        <v>198</v>
      </c>
      <c r="J12" s="325"/>
      <c r="K12" s="290"/>
    </row>
    <row r="13" spans="1:14" ht="30.75" thickBot="1">
      <c r="A13" s="302" t="s">
        <v>192</v>
      </c>
      <c r="B13" s="402">
        <v>3.7999999999999999E-2</v>
      </c>
      <c r="C13" s="376">
        <v>3.3000000000000002E-2</v>
      </c>
      <c r="D13" s="376">
        <v>3.6999999999999998E-2</v>
      </c>
      <c r="E13" s="376">
        <v>3.4000000000000002E-2</v>
      </c>
      <c r="F13" s="376">
        <v>3.4000000000000002E-2</v>
      </c>
      <c r="G13" s="375">
        <f t="shared" si="1"/>
        <v>3.5200000000000002E-2</v>
      </c>
      <c r="H13" s="374">
        <f t="shared" si="0"/>
        <v>3.4640000000000004E-2</v>
      </c>
      <c r="I13" s="322" t="s">
        <v>190</v>
      </c>
      <c r="J13" s="325"/>
      <c r="K13" s="290"/>
    </row>
    <row r="14" spans="1:14">
      <c r="A14" s="290"/>
      <c r="B14" s="290"/>
      <c r="C14" s="290"/>
      <c r="D14" s="290"/>
      <c r="E14" s="290"/>
      <c r="F14" s="320"/>
      <c r="G14" s="283"/>
      <c r="H14" s="283"/>
      <c r="I14" s="283"/>
      <c r="M14" s="290"/>
    </row>
    <row r="15" spans="1:14" ht="16.5" hidden="1" thickBot="1">
      <c r="A15" s="303" t="s">
        <v>169</v>
      </c>
      <c r="B15" s="303" t="s">
        <v>253</v>
      </c>
      <c r="C15" s="303" t="s">
        <v>162</v>
      </c>
      <c r="D15" s="303" t="s">
        <v>162</v>
      </c>
      <c r="E15" s="303" t="s">
        <v>162</v>
      </c>
      <c r="F15" s="323" t="s">
        <v>162</v>
      </c>
      <c r="G15" s="367" t="s">
        <v>162</v>
      </c>
      <c r="H15" s="370" t="s">
        <v>162</v>
      </c>
      <c r="I15" s="361" t="s">
        <v>252</v>
      </c>
      <c r="K15" s="296"/>
    </row>
    <row r="16" spans="1:14" ht="15.75" hidden="1" thickBot="1">
      <c r="A16" s="304" t="s">
        <v>163</v>
      </c>
      <c r="B16" s="305"/>
      <c r="C16" s="305">
        <f t="shared" ref="C16:H23" si="2">+C6/B6-1</f>
        <v>1.1764705882352899E-2</v>
      </c>
      <c r="D16" s="305">
        <f t="shared" si="2"/>
        <v>1.2919896640826822E-2</v>
      </c>
      <c r="E16" s="305">
        <f t="shared" si="2"/>
        <v>-1.4030612244897989E-2</v>
      </c>
      <c r="F16" s="324">
        <f t="shared" si="2"/>
        <v>6.4683053040104355E-3</v>
      </c>
      <c r="G16" s="368">
        <f t="shared" si="2"/>
        <v>-4.1131105398456436E-3</v>
      </c>
      <c r="H16" s="368">
        <f t="shared" si="2"/>
        <v>2.529685080020494E-3</v>
      </c>
      <c r="I16" s="362">
        <f>AVERAGE(C16:H16)</f>
        <v>2.5898116870778365E-3</v>
      </c>
      <c r="K16" s="296"/>
    </row>
    <row r="17" spans="1:13" ht="15.75" hidden="1" thickBot="1">
      <c r="A17" s="304" t="s">
        <v>164</v>
      </c>
      <c r="B17" s="305"/>
      <c r="C17" s="305">
        <f t="shared" si="2"/>
        <v>-3.4026465028355379E-2</v>
      </c>
      <c r="D17" s="305">
        <f t="shared" si="2"/>
        <v>-1.3698630136986356E-2</v>
      </c>
      <c r="E17" s="305">
        <f t="shared" si="2"/>
        <v>-5.9523809523809312E-3</v>
      </c>
      <c r="F17" s="324">
        <f t="shared" si="2"/>
        <v>1.9960079840319889E-3</v>
      </c>
      <c r="G17" s="369">
        <f t="shared" si="2"/>
        <v>1.4741035856573603E-2</v>
      </c>
      <c r="H17" s="368">
        <f t="shared" si="2"/>
        <v>-7.6953278366707067E-3</v>
      </c>
      <c r="I17" s="362">
        <f t="shared" ref="I17:I23" si="3">AVERAGE(C17:H17)</f>
        <v>-7.4392933522979638E-3</v>
      </c>
      <c r="K17" s="296"/>
    </row>
    <row r="18" spans="1:13" ht="15.75" hidden="1" thickBot="1">
      <c r="A18" s="304" t="s">
        <v>165</v>
      </c>
      <c r="B18" s="305"/>
      <c r="C18" s="305">
        <f t="shared" si="2"/>
        <v>-5.8479532163743242E-3</v>
      </c>
      <c r="D18" s="305">
        <f t="shared" si="2"/>
        <v>-6.7647058823529505E-2</v>
      </c>
      <c r="E18" s="305">
        <f t="shared" si="2"/>
        <v>3.7854889589905349E-2</v>
      </c>
      <c r="F18" s="324">
        <f t="shared" si="2"/>
        <v>0</v>
      </c>
      <c r="G18" s="369">
        <f t="shared" si="2"/>
        <v>7.2948328267476992E-3</v>
      </c>
      <c r="H18" s="368">
        <f t="shared" si="2"/>
        <v>-6.3971031985518012E-3</v>
      </c>
      <c r="I18" s="362">
        <f t="shared" si="3"/>
        <v>-5.7903988036337633E-3</v>
      </c>
      <c r="K18" s="296"/>
    </row>
    <row r="19" spans="1:13" ht="15.75" hidden="1" thickBot="1">
      <c r="A19" s="304" t="s">
        <v>166</v>
      </c>
      <c r="B19" s="305"/>
      <c r="C19" s="305">
        <f t="shared" si="2"/>
        <v>2.3832221163012424E-2</v>
      </c>
      <c r="D19" s="305">
        <f t="shared" si="2"/>
        <v>1.862197392923659E-2</v>
      </c>
      <c r="E19" s="305">
        <f t="shared" si="2"/>
        <v>-4.1133455210237813E-2</v>
      </c>
      <c r="F19" s="324">
        <f t="shared" si="2"/>
        <v>1.4299332697807587E-2</v>
      </c>
      <c r="G19" s="369">
        <f t="shared" si="2"/>
        <v>1.879699248120259E-3</v>
      </c>
      <c r="H19" s="368">
        <f t="shared" si="2"/>
        <v>3.189493433396029E-3</v>
      </c>
      <c r="I19" s="362">
        <f t="shared" si="3"/>
        <v>3.4482108768891795E-3</v>
      </c>
      <c r="K19" s="296"/>
    </row>
    <row r="20" spans="1:13" ht="15.75" hidden="1" thickBot="1">
      <c r="A20" s="304" t="s">
        <v>167</v>
      </c>
      <c r="B20" s="305"/>
      <c r="C20" s="305">
        <f t="shared" si="2"/>
        <v>0.10571081409477534</v>
      </c>
      <c r="D20" s="305">
        <f t="shared" si="2"/>
        <v>-9.890109890109855E-3</v>
      </c>
      <c r="E20" s="305">
        <f t="shared" si="2"/>
        <v>-1.1098779134295245E-2</v>
      </c>
      <c r="F20" s="324">
        <f t="shared" si="2"/>
        <v>7.8563411896745983E-3</v>
      </c>
      <c r="G20" s="369">
        <f t="shared" si="2"/>
        <v>-1.492204899777283E-2</v>
      </c>
      <c r="H20" s="368">
        <f t="shared" si="2"/>
        <v>1.3927198733890922E-2</v>
      </c>
      <c r="I20" s="362">
        <f t="shared" si="3"/>
        <v>1.5263902666027155E-2</v>
      </c>
      <c r="K20" s="296"/>
    </row>
    <row r="21" spans="1:13" ht="15.75" hidden="1" customHeight="1" thickBot="1">
      <c r="A21" s="304" t="s">
        <v>168</v>
      </c>
      <c r="B21" s="305"/>
      <c r="C21" s="305">
        <f t="shared" si="2"/>
        <v>7.5376884422111434E-3</v>
      </c>
      <c r="D21" s="305">
        <f t="shared" si="2"/>
        <v>1.4962593516209433E-2</v>
      </c>
      <c r="E21" s="305">
        <f t="shared" si="2"/>
        <v>-2.5798525798525707E-2</v>
      </c>
      <c r="F21" s="324">
        <f t="shared" si="2"/>
        <v>6.3051702395964249E-3</v>
      </c>
      <c r="G21" s="369">
        <f t="shared" si="2"/>
        <v>3.2581453634084045E-3</v>
      </c>
      <c r="H21" s="368">
        <f t="shared" si="2"/>
        <v>1.1491381463901718E-3</v>
      </c>
      <c r="I21" s="362">
        <f t="shared" si="3"/>
        <v>1.2357016515483117E-3</v>
      </c>
      <c r="K21" s="296"/>
    </row>
    <row r="22" spans="1:13" ht="15.75" hidden="1" thickBot="1">
      <c r="A22" s="304" t="s">
        <v>196</v>
      </c>
      <c r="B22" s="305"/>
      <c r="C22" s="305">
        <f t="shared" si="2"/>
        <v>0.23754789272030652</v>
      </c>
      <c r="D22" s="305">
        <f t="shared" si="2"/>
        <v>-0.32507739938080493</v>
      </c>
      <c r="E22" s="305">
        <f t="shared" si="2"/>
        <v>0.42201834862385312</v>
      </c>
      <c r="F22" s="324">
        <f t="shared" si="2"/>
        <v>9.6774193548387899E-3</v>
      </c>
      <c r="G22" s="369">
        <f t="shared" si="2"/>
        <v>-8.9456869009584605E-2</v>
      </c>
      <c r="H22" s="368">
        <f t="shared" si="2"/>
        <v>1.6842105263157547E-2</v>
      </c>
      <c r="I22" s="362">
        <f t="shared" si="3"/>
        <v>4.5258582928627743E-2</v>
      </c>
      <c r="K22" s="296"/>
    </row>
    <row r="23" spans="1:13" ht="15.75" hidden="1" thickBot="1">
      <c r="A23" s="304" t="s">
        <v>192</v>
      </c>
      <c r="B23" s="305"/>
      <c r="C23" s="305">
        <f t="shared" si="2"/>
        <v>-0.13157894736842102</v>
      </c>
      <c r="D23" s="305">
        <f t="shared" si="2"/>
        <v>0.1212121212121211</v>
      </c>
      <c r="E23" s="305">
        <f t="shared" si="2"/>
        <v>-8.1081081081080919E-2</v>
      </c>
      <c r="F23" s="324">
        <f t="shared" si="2"/>
        <v>0</v>
      </c>
      <c r="G23" s="369">
        <f t="shared" si="2"/>
        <v>3.529411764705892E-2</v>
      </c>
      <c r="H23" s="368">
        <f t="shared" si="2"/>
        <v>-1.5909090909090873E-2</v>
      </c>
      <c r="I23" s="362">
        <f t="shared" si="3"/>
        <v>-1.2010480083235464E-2</v>
      </c>
      <c r="K23" s="296"/>
    </row>
    <row r="24" spans="1:13">
      <c r="A24" s="336" t="s">
        <v>170</v>
      </c>
      <c r="B24" s="337">
        <f>YEAR('R&amp;R Generic Detailed Budget'!K6)</f>
        <v>2027</v>
      </c>
      <c r="C24" s="337">
        <f>YEAR('R&amp;R Generic Detailed Budget'!L6)</f>
        <v>2028</v>
      </c>
      <c r="D24" s="337">
        <f>YEAR('R&amp;R Generic Detailed Budget'!M6)</f>
        <v>2029</v>
      </c>
      <c r="E24" s="337">
        <f>YEAR('R&amp;R Generic Detailed Budget'!N6)</f>
        <v>2030</v>
      </c>
      <c r="F24" s="337">
        <f>YEAR('R&amp;R Generic Detailed Budget'!O6)</f>
        <v>2031</v>
      </c>
      <c r="I24" s="306"/>
      <c r="K24" s="296"/>
    </row>
    <row r="25" spans="1:13">
      <c r="A25" s="336" t="s">
        <v>171</v>
      </c>
      <c r="B25" s="306">
        <f>MAX(0,MIN(12,B24-$B$4))</f>
        <v>1</v>
      </c>
      <c r="C25" s="306">
        <f>MAX(0,MIN(12,C24-$B$4))</f>
        <v>2</v>
      </c>
      <c r="D25" s="306">
        <f>MAX(0,MIN(12,D24-$B$4))</f>
        <v>3</v>
      </c>
      <c r="E25" s="306">
        <f>MAX(0,MIN(12,E24-$B$4))</f>
        <v>4</v>
      </c>
      <c r="F25" s="306">
        <f>MAX(0,MIN(12,F24-$B$4))</f>
        <v>5</v>
      </c>
      <c r="I25" s="306"/>
      <c r="M25" s="296"/>
    </row>
    <row r="26" spans="1:13" ht="15.75">
      <c r="A26" s="290" t="s">
        <v>163</v>
      </c>
      <c r="B26" s="338">
        <f t="shared" ref="B26:B32" si="4">IF($D$24&lt;=$H$4,(+VLOOKUP($A26,$A$6:$H$13,B$25+2,FALSE)*(VLOOKUP($A26,$A$16:$I$23,9,FALSE)^(MAX(0,$D$24-$H$4)))),H6)</f>
        <v>0.77400000000000002</v>
      </c>
      <c r="C26" s="338">
        <f>IF('R&amp;R Generic Detailed Budget'!$R$8="N",B26,IF($D$24&lt;=$H$4,(+VLOOKUP($A26,$A$6:$H13,C$25+2,FALSE)*(VLOOKUP($A26,$A$16:$I$23,9,FALSE)^(MAX(0,$D$24-$H$4)))),H6))</f>
        <v>0.78400000000000003</v>
      </c>
      <c r="D26" s="338">
        <f>IF('R&amp;R Generic Detailed Budget'!$R$8="N",B26,IF($E$24&lt;=$H$4,(+VLOOKUP($A26,$A$6:$H$13,D$25+2,FALSE)*(VLOOKUP($A26,$A$16:$I$23,9,FALSE)^(MAX(0,$E$24-$H$4)))),H6))</f>
        <v>0.77300000000000002</v>
      </c>
      <c r="E26" s="338">
        <f>IF('R&amp;R Generic Detailed Budget'!$R$8="N",C26,IF($E$24&lt;=$H$4,(+VLOOKUP($A26,$A$6:$H$13,E$25+2,FALSE)*(VLOOKUP($A26,$A$16:$I$23,9,FALSE)^(MAX(0,$E$24-$H$4)))),H6))</f>
        <v>0.77800000000000002</v>
      </c>
      <c r="F26" s="338">
        <f>IF('R&amp;R Generic Detailed Budget'!$R$8="N",D26,IF($E$24&lt;=$H$4,(+VLOOKUP($A26,$A$6:$H$13,F$25+2,FALSE)*(VLOOKUP($A26,$A$16:$I$23,9,FALSE)^(MAX(0,$E$24-$H$4)))),H6))</f>
        <v>0.77480000000000016</v>
      </c>
      <c r="I26" s="97"/>
      <c r="M26" s="296"/>
    </row>
    <row r="27" spans="1:13" ht="15.75">
      <c r="A27" s="290" t="s">
        <v>164</v>
      </c>
      <c r="B27" s="338">
        <f t="shared" si="4"/>
        <v>0.51100000000000001</v>
      </c>
      <c r="C27" s="338">
        <f>IF('R&amp;R Generic Detailed Budget'!$R$8="N",B27,IF($D$24&lt;=$H$4,(+VLOOKUP($A27,$A$6:$H14,C$25+2,FALSE)*(VLOOKUP($A27,$A$16:$I$23,9,FALSE)^(MAX(0,$D$24-$H$4)))),H7))</f>
        <v>0.504</v>
      </c>
      <c r="D27" s="338">
        <f>IF('R&amp;R Generic Detailed Budget'!$R$8="N",B27,IF($E$24&lt;=$H$4,(+VLOOKUP($A27,$A$6:$H$13,D$25+2,FALSE)*(VLOOKUP($A27,$A$16:$I$23,9,FALSE)^(MAX(0,$E$24-$H$4)))),H7))</f>
        <v>0.501</v>
      </c>
      <c r="E27" s="338">
        <f>IF('R&amp;R Generic Detailed Budget'!$R$8="N",C27,IF($E$24&lt;=$H$4,(+VLOOKUP($A27,$A$6:$H$13,E$25+2,FALSE)*(VLOOKUP($A27,$A$16:$I$23,9,FALSE)^(MAX(0,$E$24-$H$4)))),H7))</f>
        <v>0.502</v>
      </c>
      <c r="F27" s="338">
        <f>IF('R&amp;R Generic Detailed Budget'!$R$8="N",D27,IF($E$24&lt;=$H$4,(+VLOOKUP($A27,$A$6:$H$13,F$25+2,FALSE)*(VLOOKUP($A27,$A$16:$I$23,9,FALSE)^(MAX(0,$E$24-$H$4)))),H7))</f>
        <v>0.50939999999999996</v>
      </c>
      <c r="I27" s="97"/>
      <c r="M27" s="296"/>
    </row>
    <row r="28" spans="1:13" ht="15.75">
      <c r="A28" s="290" t="s">
        <v>165</v>
      </c>
      <c r="B28" s="338">
        <f t="shared" si="4"/>
        <v>0.34</v>
      </c>
      <c r="C28" s="338">
        <f>IF('R&amp;R Generic Detailed Budget'!$R$8="N",B28,IF($D$24&lt;=$H$4,(+VLOOKUP($A28,$A$6:$H14,C$25+2,FALSE)*(VLOOKUP($A28,$A$16:$I$23,9,FALSE)^(MAX(0,$D$24-$H$4)))),H8))</f>
        <v>0.317</v>
      </c>
      <c r="D28" s="338">
        <f>IF('R&amp;R Generic Detailed Budget'!$R$8="N",B28,IF($E$24&lt;=$H$4,(+VLOOKUP($A28,$A$6:$H$13,D$25+2,FALSE)*(VLOOKUP($A28,$A$16:$I$23,9,FALSE)^(MAX(0,$E$24-$H$4)))),H8))</f>
        <v>0.32900000000000001</v>
      </c>
      <c r="E28" s="338">
        <f>IF('R&amp;R Generic Detailed Budget'!$R$8="N",C28,IF($E$24&lt;=$H$4,(+VLOOKUP($A28,$A$6:$H$13,E$25+2,FALSE)*(VLOOKUP($A28,$A$16:$I$23,9,FALSE)^(MAX(0,$E$24-$H$4)))),H8))</f>
        <v>0.32900000000000001</v>
      </c>
      <c r="F28" s="338">
        <f>IF('R&amp;R Generic Detailed Budget'!$R$8="N",D28,IF($E$24&lt;=$H$4,(+VLOOKUP($A28,$A$6:$H$13,F$25+2,FALSE)*(VLOOKUP($A28,$A$16:$I$23,9,FALSE)^(MAX(0,$E$24-$H$4)))),H8))</f>
        <v>0.33140000000000003</v>
      </c>
      <c r="I28" s="97"/>
      <c r="M28" s="296"/>
    </row>
    <row r="29" spans="1:13" ht="15.75">
      <c r="A29" s="290" t="s">
        <v>166</v>
      </c>
      <c r="B29" s="338">
        <f t="shared" si="4"/>
        <v>1.0740000000000001</v>
      </c>
      <c r="C29" s="338">
        <f>IF('R&amp;R Generic Detailed Budget'!$R$8="N",B29,IF($D$24&lt;=$H$4,(+VLOOKUP($A29,$A$6:$H15,C$25+2,FALSE)*(VLOOKUP($A29,$A$16:$I$23,9,FALSE)^(MAX(0,$D$24-$H$4)))),H9))</f>
        <v>1.0940000000000001</v>
      </c>
      <c r="D29" s="338">
        <f>IF('R&amp;R Generic Detailed Budget'!$R$8="N",B29,IF($E$24&lt;=$H$4,(+VLOOKUP($A29,$A$6:$H$13,D$25+2,FALSE)*(VLOOKUP($A29,$A$16:$I$23,9,FALSE)^(MAX(0,$E$24-$H$4)))),H9))</f>
        <v>1.0489999999999999</v>
      </c>
      <c r="E29" s="338">
        <f>IF('R&amp;R Generic Detailed Budget'!$R$8="N",C29,IF($E$24&lt;=$H$4,(+VLOOKUP($A29,$A$6:$H$13,E$25+2,FALSE)*(VLOOKUP($A29,$A$16:$I$23,9,FALSE)^(MAX(0,$E$24-$H$4)))),H9))</f>
        <v>1.0640000000000001</v>
      </c>
      <c r="F29" s="338">
        <f>IF('R&amp;R Generic Detailed Budget'!$R$8="N",D29,IF($E$24&lt;=$H$4,(+VLOOKUP($A29,$A$6:$H$13,F$25+2,FALSE)*(VLOOKUP($A29,$A$16:$I$23,9,FALSE)^(MAX(0,$E$24-$H$4)))),H9))</f>
        <v>1.0660000000000001</v>
      </c>
      <c r="I29" s="97"/>
      <c r="M29" s="296"/>
    </row>
    <row r="30" spans="1:13" ht="15.75">
      <c r="A30" s="290" t="s">
        <v>167</v>
      </c>
      <c r="B30" s="338">
        <f t="shared" si="4"/>
        <v>0.91</v>
      </c>
      <c r="C30" s="338">
        <f>IF('R&amp;R Generic Detailed Budget'!$R$8="N",B30,IF($D$24&lt;=$H$4,(+VLOOKUP($A30,$A$6:$H16,C$25+2,FALSE)*(VLOOKUP($A30,$A$16:$I$23,9,FALSE)^(MAX(0,$D$24-$H$4)))),H10))</f>
        <v>0.90100000000000002</v>
      </c>
      <c r="D30" s="338">
        <f>IF('R&amp;R Generic Detailed Budget'!$R$8="N",B30,IF($E$24&lt;=$H$4,(+VLOOKUP($A30,$A$6:$H$13,D$25+2,FALSE)*(VLOOKUP($A30,$A$16:$I$23,9,FALSE)^(MAX(0,$E$24-$H$4)))),H10))</f>
        <v>0.89100000000000001</v>
      </c>
      <c r="E30" s="338">
        <f>IF('R&amp;R Generic Detailed Budget'!$R$8="N",C30,IF($E$24&lt;=$H$4,(+VLOOKUP($A30,$A$6:$H$13,E$25+2,FALSE)*(VLOOKUP($A30,$A$16:$I$23,9,FALSE)^(MAX(0,$E$24-$H$4)))),H10))</f>
        <v>0.89800000000000002</v>
      </c>
      <c r="F30" s="338">
        <f>IF('R&amp;R Generic Detailed Budget'!$R$8="N",D30,IF($E$24&lt;=$H$4,(+VLOOKUP($A30,$A$6:$H$13,F$25+2,FALSE)*(VLOOKUP($A30,$A$16:$I$23,9,FALSE)^(MAX(0,$E$24-$H$4)))),H10))</f>
        <v>0.88460000000000005</v>
      </c>
      <c r="I30" s="97"/>
      <c r="M30" s="296"/>
    </row>
    <row r="31" spans="1:13" ht="15.75">
      <c r="A31" s="290" t="s">
        <v>168</v>
      </c>
      <c r="B31" s="338">
        <f t="shared" si="4"/>
        <v>0.80200000000000005</v>
      </c>
      <c r="C31" s="338">
        <f>IF('R&amp;R Generic Detailed Budget'!$R$8="N",B31,IF($D$24&lt;=$H$4,(+VLOOKUP($A31,$A$6:$H17,C$25+2,FALSE)*(VLOOKUP($A31,$A$16:$I$23,9,FALSE)^(MAX(0,$D$24-$H$4)))),H11))</f>
        <v>0.81399999999999995</v>
      </c>
      <c r="D31" s="338">
        <f>IF('R&amp;R Generic Detailed Budget'!$R$8="N",B31,IF($E$24&lt;=$H$4,(+VLOOKUP($A31,$A$6:$H$13,D$25+2,FALSE)*(VLOOKUP($A31,$A$16:$I$23,9,FALSE)^(MAX(0,$E$24-$H$4)))),H11))</f>
        <v>0.79300000000000004</v>
      </c>
      <c r="E31" s="338">
        <f>IF('R&amp;R Generic Detailed Budget'!$R$8="N",C31,IF($E$24&lt;=$H$4,(+VLOOKUP($A31,$A$6:$H$13,E$25+2,FALSE)*(VLOOKUP($A31,$A$16:$I$23,9,FALSE)^(MAX(0,$E$24-$H$4)))),H11))</f>
        <v>0.79800000000000004</v>
      </c>
      <c r="F31" s="338">
        <f>IF('R&amp;R Generic Detailed Budget'!$R$8="N",D31,IF($E$24&lt;=$H$4,(+VLOOKUP($A31,$A$6:$H$13,F$25+2,FALSE)*(VLOOKUP($A31,$A$16:$I$23,9,FALSE)^(MAX(0,$E$24-$H$4)))),H11))</f>
        <v>0.80059999999999998</v>
      </c>
      <c r="I31" s="97"/>
      <c r="M31" s="296"/>
    </row>
    <row r="32" spans="1:13" ht="15.75">
      <c r="A32" s="290" t="s">
        <v>196</v>
      </c>
      <c r="B32" s="338">
        <f t="shared" si="4"/>
        <v>0.32300000000000001</v>
      </c>
      <c r="C32" s="338">
        <f>IF('R&amp;R Generic Detailed Budget'!$R$8="N",B32,IF($D$24&lt;=$H$4,(+VLOOKUP($A32,$A$6:$H18,C$25+2,FALSE)*(VLOOKUP($A32,$A$16:$I$23,9,FALSE)^(MAX(0,$D$24-$H$4)))),H12))</f>
        <v>0.218</v>
      </c>
      <c r="D32" s="338">
        <f>IF('R&amp;R Generic Detailed Budget'!$R$8="N",B32,IF($E$24&lt;=$H$4,(+VLOOKUP($A32,$A$6:$H$13,D$25+2,FALSE)*(VLOOKUP($A32,$A$16:$I$23,9,FALSE)^(MAX(0,$E$24-$H$4)))),H12))</f>
        <v>0.31</v>
      </c>
      <c r="E32" s="338">
        <f>IF('R&amp;R Generic Detailed Budget'!$R$8="N",C32,IF($E$24&lt;=$H$4,(+VLOOKUP($A32,$A$6:$H$13,E$25+2,FALSE)*(VLOOKUP($A32,$A$16:$I$23,9,FALSE)^(MAX(0,$E$24-$H$4)))),H12))</f>
        <v>0.313</v>
      </c>
      <c r="F32" s="338">
        <f>IF('R&amp;R Generic Detailed Budget'!$R$8="N",D32,IF($E$24&lt;=$H$4,(+VLOOKUP($A32,$A$6:$H$13,F$25+2,FALSE)*(VLOOKUP($A32,$A$16:$I$23,9,FALSE)^(MAX(0,$E$24-$H$4)))),H12))</f>
        <v>0.28500000000000003</v>
      </c>
      <c r="I32" s="97"/>
      <c r="M32" s="296"/>
    </row>
    <row r="33" spans="1:13" ht="15.75">
      <c r="A33" s="290" t="s">
        <v>192</v>
      </c>
      <c r="B33" s="338">
        <f>IF($D$24&lt;=$H$4,(+VLOOKUP($A33,$A$6:$H$13,B$25+2,FALSE)*(VLOOKUP($A33,$A$16:$I$23,9,FALSE)^(MAX(0,$D$24-$H$4)))),H13)</f>
        <v>3.3000000000000002E-2</v>
      </c>
      <c r="C33" s="338">
        <f>IF('R&amp;R Generic Detailed Budget'!$R$8="N",B33,IF($D$24&lt;=$H$4,(+VLOOKUP($A33,$A$6:$H19,C$25+2,FALSE)*(VLOOKUP($A33,$A$16:$I$23,9,FALSE)^(MAX(0,$D$24-$H$4)))),H13))</f>
        <v>3.6999999999999998E-2</v>
      </c>
      <c r="D33" s="338">
        <f>IF('R&amp;R Generic Detailed Budget'!$R$8="N",B33,IF($E$24&lt;=$H$4,(+VLOOKUP($A33,$A$6:$H$13,D$25+2,FALSE)*(VLOOKUP($A33,$A$16:$I$23,9,FALSE)^(MAX(0,$E$24-$H$4)))),H13))</f>
        <v>3.4000000000000002E-2</v>
      </c>
      <c r="E33" s="338">
        <f>IF('R&amp;R Generic Detailed Budget'!$R$8="N",C33,IF($E$24&lt;=$H$4,(+VLOOKUP($A33,$A$6:$H$13,E$25+2,FALSE)*(VLOOKUP($A33,$A$16:$I$23,9,FALSE)^(MAX(0,$E$24-$H$4)))),H13))</f>
        <v>3.4000000000000002E-2</v>
      </c>
      <c r="F33" s="338">
        <f>IF('R&amp;R Generic Detailed Budget'!$R$8="N",D33,IF($E$24&lt;=$H$4,(+VLOOKUP($A33,$A$6:$H$13,F$25+2,FALSE)*(VLOOKUP($A33,$A$16:$I$23,9,FALSE)^(MAX(0,$E$24-$H$4)))),H13))</f>
        <v>3.5200000000000002E-2</v>
      </c>
      <c r="I33" s="97"/>
      <c r="M33" s="290"/>
    </row>
    <row r="34" spans="1:13" ht="15.75" hidden="1">
      <c r="A34" s="290"/>
      <c r="B34" s="338"/>
      <c r="C34" s="338"/>
      <c r="D34" s="338"/>
      <c r="E34" s="338"/>
      <c r="F34" s="338"/>
      <c r="I34" s="97"/>
      <c r="M34" s="290"/>
    </row>
    <row r="35" spans="1:13" ht="15.75" hidden="1">
      <c r="A35" s="394" t="s">
        <v>255</v>
      </c>
      <c r="B35" s="338"/>
      <c r="C35" s="338"/>
      <c r="D35" s="338"/>
      <c r="E35" s="338"/>
      <c r="F35" s="338"/>
      <c r="I35" s="97"/>
      <c r="M35" s="290"/>
    </row>
    <row r="36" spans="1:13" ht="15" hidden="1">
      <c r="A36" s="385" t="s">
        <v>257</v>
      </c>
      <c r="B36" s="386"/>
      <c r="C36" s="386"/>
      <c r="D36" s="386"/>
      <c r="E36" s="386"/>
      <c r="F36" s="386"/>
      <c r="G36" s="387"/>
      <c r="H36" s="387"/>
      <c r="I36" s="388"/>
      <c r="M36" s="290"/>
    </row>
    <row r="37" spans="1:13" ht="15" hidden="1">
      <c r="A37" s="385" t="s">
        <v>256</v>
      </c>
      <c r="B37" s="386"/>
      <c r="C37" s="386"/>
      <c r="D37" s="386"/>
      <c r="E37" s="386"/>
      <c r="F37" s="386"/>
      <c r="G37" s="387"/>
      <c r="H37" s="387"/>
      <c r="I37" s="388"/>
      <c r="M37" s="290"/>
    </row>
    <row r="38" spans="1:13" ht="6.75" hidden="1" customHeight="1">
      <c r="A38" s="385"/>
      <c r="B38" s="386"/>
      <c r="C38" s="386"/>
      <c r="D38" s="386"/>
      <c r="E38" s="386"/>
      <c r="F38" s="386"/>
      <c r="G38" s="387"/>
      <c r="H38" s="387"/>
      <c r="I38" s="388"/>
      <c r="M38" s="290"/>
    </row>
    <row r="39" spans="1:13" ht="15" hidden="1">
      <c r="A39" s="385" t="s">
        <v>261</v>
      </c>
      <c r="B39" s="389"/>
      <c r="C39" s="389"/>
      <c r="D39" s="390"/>
      <c r="E39" s="390"/>
      <c r="F39" s="391"/>
      <c r="G39" s="391"/>
      <c r="H39" s="391"/>
      <c r="I39" s="391"/>
      <c r="M39" s="290"/>
    </row>
    <row r="40" spans="1:13" hidden="1">
      <c r="A40" s="381"/>
      <c r="B40" s="290"/>
      <c r="C40" s="290"/>
      <c r="D40" s="296"/>
      <c r="E40" s="296"/>
      <c r="F40" s="283"/>
      <c r="G40" s="283"/>
      <c r="H40" s="283"/>
      <c r="I40" s="283"/>
      <c r="M40" s="290"/>
    </row>
    <row r="41" spans="1:13" ht="12" hidden="1" customHeight="1">
      <c r="A41" s="330" t="s">
        <v>262</v>
      </c>
      <c r="B41" s="330"/>
      <c r="C41" s="290"/>
      <c r="D41" s="296"/>
      <c r="E41" s="296"/>
      <c r="F41" s="283"/>
      <c r="G41" s="283"/>
      <c r="H41" s="283"/>
      <c r="I41" s="283"/>
      <c r="M41" s="290"/>
    </row>
    <row r="42" spans="1:13" hidden="1">
      <c r="A42" s="290" t="s">
        <v>208</v>
      </c>
      <c r="B42" s="290"/>
      <c r="C42" s="290"/>
      <c r="D42" s="296"/>
      <c r="E42" s="296"/>
      <c r="F42" s="283"/>
      <c r="G42" s="283"/>
      <c r="H42" s="327"/>
      <c r="I42" s="283"/>
      <c r="M42" s="290"/>
    </row>
    <row r="43" spans="1:13" hidden="1">
      <c r="A43" s="290" t="s">
        <v>209</v>
      </c>
      <c r="B43" s="290"/>
      <c r="C43" s="290"/>
      <c r="D43" s="296"/>
      <c r="E43" s="296"/>
      <c r="F43" s="283"/>
      <c r="G43" s="283"/>
      <c r="H43" s="283"/>
      <c r="I43" s="283"/>
      <c r="M43" s="290"/>
    </row>
    <row r="44" spans="1:13" hidden="1">
      <c r="A44" s="290"/>
      <c r="B44" s="290"/>
      <c r="C44" s="290"/>
      <c r="D44" s="296"/>
      <c r="E44" s="296"/>
      <c r="F44" s="283"/>
      <c r="G44" s="283"/>
      <c r="H44" s="283"/>
      <c r="I44" s="283"/>
      <c r="M44" s="290"/>
    </row>
    <row r="45" spans="1:13" ht="14.25" hidden="1">
      <c r="A45" s="393" t="s">
        <v>258</v>
      </c>
      <c r="B45" s="393"/>
      <c r="C45" s="393"/>
      <c r="D45" s="393"/>
      <c r="E45" s="393"/>
      <c r="F45" s="283"/>
      <c r="G45" s="283"/>
      <c r="H45" s="283"/>
      <c r="I45" s="283"/>
      <c r="M45" s="290"/>
    </row>
    <row r="46" spans="1:13" hidden="1">
      <c r="A46" s="330" t="s">
        <v>259</v>
      </c>
      <c r="B46" s="330"/>
      <c r="C46" s="290"/>
      <c r="D46" s="290"/>
      <c r="E46" s="392" t="s">
        <v>260</v>
      </c>
      <c r="F46" s="392"/>
      <c r="G46" s="283"/>
      <c r="H46" s="283"/>
      <c r="I46" s="283"/>
      <c r="M46" s="290"/>
    </row>
    <row r="47" spans="1:13" hidden="1">
      <c r="A47" s="290" t="s">
        <v>215</v>
      </c>
      <c r="B47" s="290"/>
      <c r="C47" s="290"/>
      <c r="D47" s="290"/>
      <c r="E47" s="290"/>
      <c r="F47" s="290"/>
      <c r="G47" s="307"/>
      <c r="H47" s="307"/>
      <c r="I47" s="307"/>
      <c r="M47" s="290"/>
    </row>
    <row r="48" spans="1:13" hidden="1">
      <c r="A48" s="290" t="s">
        <v>216</v>
      </c>
      <c r="B48" s="290"/>
      <c r="C48" s="290"/>
      <c r="D48" s="290"/>
      <c r="E48" s="290"/>
      <c r="F48" s="290"/>
      <c r="G48" s="307"/>
      <c r="H48" s="307"/>
      <c r="I48" s="307"/>
      <c r="M48" s="290"/>
    </row>
    <row r="49" spans="1:13" hidden="1">
      <c r="A49" s="290" t="s">
        <v>217</v>
      </c>
      <c r="B49" s="290"/>
      <c r="C49" s="290"/>
      <c r="D49" s="290"/>
      <c r="E49" s="290"/>
      <c r="F49" s="290"/>
      <c r="G49" s="307"/>
      <c r="H49" s="307"/>
      <c r="I49" s="307"/>
      <c r="M49" s="290"/>
    </row>
    <row r="50" spans="1:13" hidden="1">
      <c r="A50" s="290" t="s">
        <v>218</v>
      </c>
      <c r="B50" s="290"/>
      <c r="C50" s="290"/>
      <c r="D50" s="290"/>
      <c r="E50" s="290"/>
      <c r="F50" s="290"/>
      <c r="G50" s="307"/>
      <c r="H50" s="307"/>
      <c r="I50" s="307"/>
      <c r="M50" s="290"/>
    </row>
    <row r="51" spans="1:13" hidden="1">
      <c r="A51" s="290"/>
      <c r="B51" s="326"/>
      <c r="C51" s="326"/>
      <c r="D51" s="326"/>
      <c r="E51" s="326"/>
      <c r="F51" s="326"/>
      <c r="G51" s="307"/>
      <c r="H51" s="307"/>
      <c r="I51" s="307"/>
      <c r="M51" s="290"/>
    </row>
    <row r="52" spans="1:13" hidden="1">
      <c r="A52" s="290" t="s">
        <v>200</v>
      </c>
      <c r="B52" s="313"/>
      <c r="C52" s="313"/>
      <c r="D52" s="313"/>
      <c r="E52" s="313"/>
      <c r="F52" s="313"/>
      <c r="G52" s="307"/>
      <c r="H52" s="307"/>
      <c r="I52" s="307"/>
      <c r="M52" s="290"/>
    </row>
    <row r="53" spans="1:13" hidden="1">
      <c r="A53" s="290" t="s">
        <v>210</v>
      </c>
      <c r="B53" s="313"/>
      <c r="C53" s="290"/>
      <c r="D53" s="290"/>
      <c r="E53" s="307"/>
      <c r="F53" s="307"/>
      <c r="G53" s="307"/>
      <c r="H53" s="307"/>
      <c r="I53" s="307"/>
      <c r="M53" s="290"/>
    </row>
    <row r="54" spans="1:13" hidden="1">
      <c r="A54" s="290" t="s">
        <v>201</v>
      </c>
      <c r="B54" s="313"/>
      <c r="C54" s="290"/>
      <c r="D54" s="290"/>
      <c r="E54" s="307"/>
      <c r="F54" s="307"/>
      <c r="G54" s="307"/>
      <c r="H54" s="307"/>
      <c r="I54" s="307"/>
      <c r="M54" s="290"/>
    </row>
    <row r="55" spans="1:13" hidden="1">
      <c r="A55" s="290" t="s">
        <v>202</v>
      </c>
      <c r="B55" s="313"/>
      <c r="C55" s="290"/>
      <c r="D55" s="290"/>
      <c r="E55" s="307"/>
      <c r="F55" s="307"/>
      <c r="G55" s="307"/>
      <c r="H55" s="307"/>
      <c r="I55" s="307"/>
      <c r="M55" s="290"/>
    </row>
    <row r="56" spans="1:13" hidden="1">
      <c r="A56" s="290" t="s">
        <v>203</v>
      </c>
      <c r="B56" s="313"/>
      <c r="C56" s="290"/>
      <c r="D56" s="290"/>
      <c r="E56" s="307"/>
      <c r="F56" s="307"/>
      <c r="G56" s="307"/>
      <c r="H56" s="307"/>
      <c r="I56" s="307"/>
      <c r="M56" s="290"/>
    </row>
    <row r="57" spans="1:13" hidden="1">
      <c r="A57" s="290" t="s">
        <v>204</v>
      </c>
      <c r="B57" s="313"/>
      <c r="C57" s="290"/>
      <c r="D57" s="290"/>
      <c r="E57" s="290"/>
      <c r="F57" s="283"/>
      <c r="G57" s="283"/>
      <c r="H57" s="283"/>
      <c r="I57" s="283"/>
      <c r="M57" s="290"/>
    </row>
    <row r="58" spans="1:13" hidden="1">
      <c r="A58" s="290" t="s">
        <v>211</v>
      </c>
      <c r="B58" s="290"/>
      <c r="C58" s="290"/>
      <c r="D58" s="290"/>
      <c r="E58" s="290"/>
      <c r="F58" s="283"/>
      <c r="G58" s="283"/>
      <c r="H58" s="283"/>
      <c r="I58" s="283"/>
      <c r="M58" s="290"/>
    </row>
    <row r="59" spans="1:13" hidden="1">
      <c r="A59" s="290" t="s">
        <v>205</v>
      </c>
      <c r="B59" s="290"/>
      <c r="C59" s="290"/>
      <c r="D59" s="290"/>
      <c r="E59" s="290"/>
      <c r="F59" s="283"/>
      <c r="G59" s="283"/>
      <c r="H59" s="283"/>
      <c r="I59" s="283"/>
      <c r="M59" s="290"/>
    </row>
    <row r="60" spans="1:13" hidden="1">
      <c r="A60" s="290" t="s">
        <v>206</v>
      </c>
      <c r="B60" s="290"/>
      <c r="C60" s="290"/>
      <c r="D60" s="296"/>
      <c r="E60" s="296"/>
      <c r="F60" s="283"/>
      <c r="G60" s="283"/>
      <c r="H60" s="283"/>
      <c r="I60" s="283"/>
      <c r="M60" s="290"/>
    </row>
    <row r="61" spans="1:13" hidden="1">
      <c r="A61" s="290" t="s">
        <v>207</v>
      </c>
      <c r="B61" s="290"/>
      <c r="C61" s="290"/>
      <c r="D61" s="296"/>
      <c r="E61" s="296"/>
      <c r="F61" s="283"/>
      <c r="G61" s="283"/>
      <c r="H61" s="283"/>
      <c r="I61" s="283"/>
      <c r="M61" s="296"/>
    </row>
    <row r="62" spans="1:13" hidden="1">
      <c r="A62" s="290"/>
      <c r="B62" s="290"/>
      <c r="C62" s="290"/>
      <c r="D62" s="290"/>
      <c r="E62" s="290"/>
      <c r="F62" s="283"/>
      <c r="G62" s="283"/>
      <c r="H62" s="283"/>
      <c r="I62" s="283"/>
      <c r="M62" s="296"/>
    </row>
    <row r="63" spans="1:13" hidden="1">
      <c r="A63" s="328" t="s">
        <v>219</v>
      </c>
      <c r="B63" s="328"/>
      <c r="C63" s="328"/>
      <c r="D63" s="328"/>
      <c r="E63" s="328"/>
      <c r="F63" s="329"/>
      <c r="G63" s="283"/>
      <c r="H63" s="283"/>
      <c r="I63" s="283"/>
      <c r="M63" s="290"/>
    </row>
    <row r="64" spans="1:13" hidden="1">
      <c r="B64" s="290"/>
      <c r="C64" s="290"/>
      <c r="D64" s="290"/>
      <c r="E64" s="290"/>
      <c r="F64" s="283"/>
      <c r="G64" s="283"/>
      <c r="H64" s="283"/>
      <c r="I64" s="283"/>
      <c r="M64" s="290"/>
    </row>
    <row r="65" spans="1:13" hidden="1">
      <c r="A65" s="328" t="s">
        <v>220</v>
      </c>
      <c r="B65" s="328"/>
      <c r="C65" s="328"/>
      <c r="D65" s="328"/>
      <c r="E65" s="328"/>
      <c r="F65" s="329"/>
      <c r="G65" s="283"/>
      <c r="H65" s="283"/>
      <c r="I65" s="283"/>
      <c r="M65" s="290"/>
    </row>
    <row r="66" spans="1:13" hidden="1">
      <c r="A66" s="328" t="s">
        <v>212</v>
      </c>
      <c r="B66" s="328"/>
      <c r="C66" s="328"/>
      <c r="D66" s="328"/>
      <c r="E66" s="328"/>
      <c r="F66" s="329"/>
      <c r="G66" s="283"/>
      <c r="H66" s="283"/>
      <c r="I66" s="283"/>
      <c r="M66" s="290"/>
    </row>
    <row r="67" spans="1:13" hidden="1">
      <c r="A67" s="328" t="s">
        <v>213</v>
      </c>
      <c r="B67" s="328"/>
      <c r="C67" s="328"/>
      <c r="D67" s="328"/>
      <c r="E67" s="328"/>
      <c r="F67" s="329"/>
      <c r="G67" s="283"/>
      <c r="H67" s="283"/>
      <c r="I67" s="283"/>
      <c r="M67" s="290"/>
    </row>
    <row r="68" spans="1:13" hidden="1">
      <c r="A68" s="328" t="s">
        <v>214</v>
      </c>
      <c r="B68" s="328"/>
      <c r="C68" s="328"/>
      <c r="D68" s="328"/>
      <c r="E68" s="328"/>
      <c r="F68" s="329"/>
      <c r="G68" s="283"/>
      <c r="H68" s="283"/>
      <c r="I68" s="283"/>
      <c r="M68" s="290"/>
    </row>
    <row r="69" spans="1:13">
      <c r="A69" s="290"/>
      <c r="B69" s="290"/>
      <c r="C69" s="290"/>
      <c r="D69" s="290"/>
      <c r="E69" s="290"/>
      <c r="F69" s="283"/>
      <c r="G69" s="283"/>
      <c r="H69" s="283"/>
      <c r="I69" s="283"/>
      <c r="M69" s="290"/>
    </row>
    <row r="70" spans="1:13">
      <c r="A70" s="290"/>
      <c r="B70" s="290"/>
      <c r="C70" s="290"/>
      <c r="D70" s="290"/>
      <c r="E70" s="290"/>
      <c r="F70" s="283"/>
      <c r="G70" s="283"/>
      <c r="H70" s="283"/>
      <c r="I70" s="283"/>
      <c r="M70" s="290"/>
    </row>
    <row r="71" spans="1:13">
      <c r="A71" s="290"/>
      <c r="B71" s="290"/>
      <c r="C71" s="290"/>
      <c r="D71" s="290"/>
      <c r="E71" s="290"/>
      <c r="F71" s="283"/>
      <c r="G71" s="283"/>
      <c r="H71" s="283"/>
      <c r="I71" s="283"/>
      <c r="M71" s="290"/>
    </row>
    <row r="72" spans="1:13">
      <c r="A72" s="290"/>
      <c r="B72" s="290"/>
      <c r="C72" s="290"/>
      <c r="D72" s="290"/>
      <c r="E72" s="290"/>
      <c r="F72" s="283"/>
      <c r="G72" s="283"/>
      <c r="H72" s="283"/>
      <c r="I72" s="283"/>
      <c r="M72" s="290"/>
    </row>
    <row r="73" spans="1:13">
      <c r="A73" s="290"/>
      <c r="B73" s="290"/>
      <c r="C73" s="290"/>
      <c r="D73" s="290"/>
      <c r="E73" s="290"/>
      <c r="F73" s="283"/>
      <c r="G73" s="283"/>
      <c r="H73" s="283"/>
      <c r="I73" s="283"/>
      <c r="M73" s="290"/>
    </row>
    <row r="74" spans="1:13">
      <c r="A74" s="290"/>
      <c r="B74" s="290"/>
      <c r="C74" s="290"/>
      <c r="D74" s="290"/>
      <c r="E74" s="290"/>
      <c r="F74" s="283"/>
      <c r="G74" s="283"/>
      <c r="H74" s="283"/>
      <c r="I74" s="283"/>
      <c r="J74" s="1"/>
      <c r="M74" s="290"/>
    </row>
    <row r="75" spans="1:13">
      <c r="A75" s="290" t="s">
        <v>27</v>
      </c>
      <c r="B75" s="290"/>
      <c r="C75" s="290"/>
      <c r="D75" s="290"/>
      <c r="E75" s="290"/>
      <c r="F75" s="283"/>
      <c r="G75" s="283"/>
      <c r="H75" s="283"/>
      <c r="I75" s="283"/>
      <c r="M75" s="290"/>
    </row>
    <row r="76" spans="1:13">
      <c r="A76" s="290"/>
      <c r="B76" s="290"/>
      <c r="C76" s="290"/>
      <c r="D76" s="290"/>
      <c r="E76" s="290"/>
      <c r="F76" s="283"/>
      <c r="G76" s="283"/>
      <c r="H76" s="283"/>
      <c r="I76" s="283"/>
      <c r="M76" s="290"/>
    </row>
    <row r="77" spans="1:13">
      <c r="A77" s="290"/>
      <c r="B77" s="290"/>
      <c r="C77" s="290"/>
      <c r="D77" s="290"/>
      <c r="E77" s="290"/>
      <c r="F77" s="283"/>
      <c r="G77" s="283"/>
      <c r="H77" s="283"/>
      <c r="I77" s="283"/>
      <c r="M77" s="290"/>
    </row>
    <row r="78" spans="1:13">
      <c r="A78" s="290"/>
      <c r="B78" s="290"/>
      <c r="C78" s="290"/>
      <c r="D78" s="290"/>
      <c r="E78" s="290"/>
      <c r="F78" s="283"/>
      <c r="G78" s="283"/>
      <c r="H78" s="283"/>
      <c r="I78" s="283"/>
      <c r="M78" s="290"/>
    </row>
    <row r="79" spans="1:13">
      <c r="A79" s="297"/>
      <c r="B79" s="290"/>
      <c r="C79" s="290"/>
      <c r="D79" s="290"/>
      <c r="E79" s="290"/>
      <c r="F79" s="1"/>
      <c r="G79" s="1"/>
      <c r="H79" s="1"/>
      <c r="I79" s="1"/>
      <c r="M79" s="290"/>
    </row>
    <row r="80" spans="1:13">
      <c r="A80" s="297"/>
      <c r="B80" s="290"/>
      <c r="C80" s="290"/>
      <c r="D80" s="290"/>
      <c r="E80" s="290"/>
      <c r="F80" s="1"/>
      <c r="G80" s="1"/>
      <c r="H80" s="1"/>
      <c r="I80" s="1"/>
    </row>
    <row r="81" spans="1:9">
      <c r="A81" s="297"/>
      <c r="B81" s="290"/>
      <c r="C81" s="290"/>
      <c r="D81" s="290"/>
      <c r="E81" s="290"/>
      <c r="F81" s="1"/>
      <c r="G81" s="1"/>
      <c r="H81" s="1"/>
      <c r="I81" s="1"/>
    </row>
    <row r="82" spans="1:9">
      <c r="A82" s="297"/>
      <c r="B82" s="290"/>
      <c r="C82" s="290"/>
      <c r="D82" s="290"/>
      <c r="E82" s="290"/>
      <c r="F82" s="1"/>
      <c r="G82" s="1"/>
      <c r="H82" s="1"/>
      <c r="I82" s="1"/>
    </row>
    <row r="83" spans="1:9">
      <c r="A83" s="297"/>
      <c r="B83" s="290"/>
      <c r="C83" s="290"/>
      <c r="D83" s="290"/>
      <c r="E83" s="290"/>
      <c r="F83" s="1"/>
      <c r="G83" s="1"/>
      <c r="H83" s="1"/>
      <c r="I83" s="1"/>
    </row>
    <row r="84" spans="1:9">
      <c r="A84" s="297"/>
      <c r="B84" s="290"/>
      <c r="C84" s="290"/>
      <c r="D84" s="290"/>
      <c r="E84" s="290"/>
      <c r="F84" s="1"/>
      <c r="G84" s="1"/>
      <c r="H84" s="1"/>
      <c r="I84" s="1"/>
    </row>
    <row r="85" spans="1:9">
      <c r="A85" s="297"/>
      <c r="B85" s="290"/>
      <c r="C85" s="290"/>
      <c r="D85" s="290"/>
      <c r="E85" s="290"/>
      <c r="F85" s="1"/>
      <c r="G85" s="1"/>
      <c r="H85" s="1"/>
      <c r="I85" s="1"/>
    </row>
    <row r="86" spans="1:9">
      <c r="A86" s="297"/>
      <c r="B86" s="290"/>
      <c r="C86" s="290"/>
      <c r="D86" s="290"/>
      <c r="E86" s="290"/>
      <c r="F86" s="290"/>
      <c r="G86" s="290"/>
      <c r="H86" s="290"/>
      <c r="I86" s="290"/>
    </row>
    <row r="152" spans="7:7">
      <c r="G152" t="s">
        <v>27</v>
      </c>
    </row>
  </sheetData>
  <sheetProtection algorithmName="SHA-512" hashValue="LGJ4dhev1+TcM1UonUC5YQ88vZtM9ngHIVtLB75RrFCm1g8rqA1QwQTZJrP2fkSKW94Mm8mcxkHsWLnivHHqDQ==" saltValue="K7aFMirxEXuAVQcECajPxg==" spinCount="100000" sheet="1" objects="1" scenarios="1"/>
  <mergeCells count="5">
    <mergeCell ref="A4:A5"/>
    <mergeCell ref="I4:I5"/>
    <mergeCell ref="A1:A2"/>
    <mergeCell ref="B3:C3"/>
    <mergeCell ref="D3:F3"/>
  </mergeCells>
  <hyperlinks>
    <hyperlink ref="B3" r:id="rId1" tooltip="https://brp.uoregon.edu/content/blended-ope" xr:uid="{DFA60791-CD0B-44A4-9258-CA6EFA679161}"/>
    <hyperlink ref="D3" r:id="rId2" tooltip="https://brp.uoregon.edu/content/estimated-rates-future-years" xr:uid="{6069B2F8-030F-455B-9137-53D54B4E4524}"/>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R&amp;R Generic Detailed Budget</vt:lpstr>
      <vt:lpstr>Person Month Conversion tool</vt:lpstr>
      <vt:lpstr>NIH Sal Cap Calculator</vt:lpstr>
      <vt:lpstr>F&amp;A History</vt:lpstr>
      <vt:lpstr>Eclass OPE Rates</vt:lpstr>
      <vt:lpstr>'R&amp;R Generic Detailed Budget'!Print_Area</vt:lpstr>
      <vt:lpstr>'R&amp;R Generic Detailed Budget'!Print_Titles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2016-12-22T21:42:43Z</cp:lastPrinted>
  <dcterms:created xsi:type="dcterms:W3CDTF">1999-06-18T21:53:54Z</dcterms:created>
  <dcterms:modified xsi:type="dcterms:W3CDTF">2026-09-14T16:53:00Z</dcterms:modified>
</cp:coreProperties>
</file>